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guskinVA\Desktop\"/>
    </mc:Choice>
  </mc:AlternateContent>
  <bookViews>
    <workbookView xWindow="0" yWindow="0" windowWidth="28800" windowHeight="11535" tabRatio="677" firstSheet="15" activeTab="26"/>
  </bookViews>
  <sheets>
    <sheet name="2023 НЗ ФГБУ пер и ЗП 30.09 22" sheetId="4" state="hidden" r:id="rId1"/>
    <sheet name="2023 НЗ пер ФЦАО 3 раб 28.11.12" sheetId="17" state="hidden" r:id="rId2"/>
    <sheet name="2024 НЗ ФГБУ пер и ЗП 30.09 22" sheetId="5" state="hidden" r:id="rId3"/>
    <sheet name="2024 НЗ пер 3 раб 28.11.12" sheetId="18" state="hidden" r:id="rId4"/>
    <sheet name="2025 НЗ баз пер и ЗП 30.09.22" sheetId="6" state="hidden" r:id="rId5"/>
    <sheet name="2025 НЗ пер 3 раб 28.11.12" sheetId="19" state="hidden" r:id="rId6"/>
    <sheet name="2026" sheetId="21" state="hidden" r:id="rId7"/>
    <sheet name="2025 НЗ предв 04.05.2023 (ДБА)" sheetId="22" state="hidden" r:id="rId8"/>
    <sheet name="2026 НЗ предв 04.05.2023 (ДБА)" sheetId="23" state="hidden" r:id="rId9"/>
    <sheet name="2025 НЗ ББА 22.05.2023" sheetId="26" state="hidden" r:id="rId10"/>
    <sheet name="2026 НЗ ББА 22.05.2023" sheetId="28" state="hidden" r:id="rId11"/>
    <sheet name="2025 НЗ ДБА 22.05.2023" sheetId="27" state="hidden" r:id="rId12"/>
    <sheet name="2026 НЗ ДБА 22.05.2023" sheetId="29" state="hidden" r:id="rId13"/>
    <sheet name="СВОД НЗ 2025 22.05.2023" sheetId="30" state="hidden" r:id="rId14"/>
    <sheet name="СВОД НЗ 2026 22.05.2023" sheetId="31" state="hidden" r:id="rId15"/>
    <sheet name="СФО" sheetId="46" r:id="rId16"/>
    <sheet name="УФО" sheetId="47" r:id="rId17"/>
    <sheet name="ПФО" sheetId="48" r:id="rId18"/>
    <sheet name="СЗФО" sheetId="49" r:id="rId19"/>
    <sheet name="ДФО" sheetId="50" r:id="rId20"/>
    <sheet name="ЮФО" sheetId="51" r:id="rId21"/>
    <sheet name="ЦФО" sheetId="52" r:id="rId22"/>
    <sheet name="БА ТМД" sheetId="53" r:id="rId23"/>
    <sheet name="СевКасп ТМД" sheetId="54" r:id="rId24"/>
    <sheet name="ЧерАз ТМД" sheetId="55" r:id="rId25"/>
    <sheet name="Камчат ТМД" sheetId="56" r:id="rId26"/>
    <sheet name="ФЦАО" sheetId="57" r:id="rId27"/>
  </sheets>
  <definedNames>
    <definedName name="_xlnm._FilterDatabase" localSheetId="9" hidden="1">'2025 НЗ ББА 22.05.2023'!$AR$10:$BQ$46</definedName>
    <definedName name="_xlnm._FilterDatabase" localSheetId="10" hidden="1">'2026 НЗ ББА 22.05.2023'!$E$10:$AR$49</definedName>
    <definedName name="_xlnm.Print_Area" localSheetId="1">'2023 НЗ пер ФЦАО 3 раб 28.11.12'!$A$1:$AP$48</definedName>
    <definedName name="_xlnm.Print_Area" localSheetId="0">'2023 НЗ ФГБУ пер и ЗП 30.09 22'!$A$1:$AP$48</definedName>
    <definedName name="_xlnm.Print_Area" localSheetId="3">'2024 НЗ пер 3 раб 28.11.12'!$A$1:$AK$48</definedName>
    <definedName name="_xlnm.Print_Area" localSheetId="2">'2024 НЗ ФГБУ пер и ЗП 30.09 22'!$A$1:$AK$44</definedName>
    <definedName name="_xlnm.Print_Area" localSheetId="4">'2025 НЗ баз пер и ЗП 30.09.22'!$A$1:$AO$45</definedName>
    <definedName name="_xlnm.Print_Area" localSheetId="5">'2025 НЗ пер 3 раб 28.11.12'!$A$1:$AO$49</definedName>
    <definedName name="_xlnm.Print_Area" localSheetId="25">'Камчат ТМД'!$A$1:$AE$16</definedName>
    <definedName name="_xlnm.Print_Area" localSheetId="23">'СевКасп ТМД'!$A$1:$AE$16</definedName>
    <definedName name="_xlnm.Print_Area" localSheetId="15">СФО!$A$1:$AE$38</definedName>
    <definedName name="_xlnm.Print_Area" localSheetId="26">ФЦАО!$A$1:$AE$40</definedName>
    <definedName name="_xlnm.Print_Area" localSheetId="24">'ЧерАз ТМД'!$A$1:$AE$34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8" i="57" l="1"/>
  <c r="X38" i="57" s="1"/>
  <c r="R38" i="57"/>
  <c r="K38" i="57"/>
  <c r="H38" i="57"/>
  <c r="G38" i="57" s="1"/>
  <c r="F38" i="57" s="1"/>
  <c r="AB32" i="55"/>
  <c r="X32" i="55" s="1"/>
  <c r="K32" i="55"/>
  <c r="G32" i="55"/>
  <c r="F32" i="55" s="1"/>
  <c r="AB32" i="52"/>
  <c r="X32" i="52" s="1"/>
  <c r="R32" i="52"/>
  <c r="K32" i="52"/>
  <c r="G32" i="52" s="1"/>
  <c r="F32" i="52" s="1"/>
  <c r="AD32" i="51"/>
  <c r="AB32" i="51"/>
  <c r="X32" i="51"/>
  <c r="K32" i="51"/>
  <c r="G32" i="51" s="1"/>
  <c r="F32" i="51" s="1"/>
  <c r="AB35" i="50"/>
  <c r="X35" i="50" s="1"/>
  <c r="K35" i="50"/>
  <c r="G35" i="50"/>
  <c r="F35" i="50" s="1"/>
  <c r="AB32" i="49"/>
  <c r="X32" i="49"/>
  <c r="F32" i="49" s="1"/>
  <c r="K32" i="49"/>
  <c r="G32" i="49"/>
  <c r="AD32" i="48"/>
  <c r="AB32" i="48"/>
  <c r="X32" i="48" s="1"/>
  <c r="K32" i="48"/>
  <c r="G32" i="48" s="1"/>
  <c r="F32" i="48" s="1"/>
  <c r="AB35" i="47"/>
  <c r="X35" i="47" s="1"/>
  <c r="K35" i="47"/>
  <c r="G35" i="47" s="1"/>
  <c r="F35" i="47" s="1"/>
  <c r="AD35" i="46"/>
  <c r="AB35" i="46"/>
  <c r="X35" i="46" s="1"/>
  <c r="F35" i="46" s="1"/>
  <c r="K35" i="46"/>
  <c r="G35" i="46"/>
  <c r="AB15" i="57" l="1"/>
  <c r="X15" i="57"/>
  <c r="Q15" i="57"/>
  <c r="K15" i="57"/>
  <c r="G15" i="57"/>
  <c r="F15" i="57"/>
  <c r="AB14" i="57"/>
  <c r="X14" i="57"/>
  <c r="Q14" i="57"/>
  <c r="K14" i="57"/>
  <c r="G14" i="57" s="1"/>
  <c r="F14" i="57" s="1"/>
  <c r="AB13" i="57"/>
  <c r="X13" i="57"/>
  <c r="Q13" i="57"/>
  <c r="K13" i="57"/>
  <c r="G13" i="57"/>
  <c r="F13" i="57"/>
  <c r="AD12" i="57"/>
  <c r="AB12" i="57"/>
  <c r="X12" i="57"/>
  <c r="M12" i="57"/>
  <c r="F12" i="57" s="1"/>
  <c r="K12" i="57"/>
  <c r="G12" i="57"/>
  <c r="AB12" i="56"/>
  <c r="X12" i="56"/>
  <c r="S12" i="56"/>
  <c r="K12" i="56"/>
  <c r="G12" i="56" s="1"/>
  <c r="F12" i="56" s="1"/>
  <c r="Y13" i="55"/>
  <c r="AB13" i="55" s="1"/>
  <c r="X13" i="55" s="1"/>
  <c r="K13" i="55"/>
  <c r="G13" i="55" s="1"/>
  <c r="F13" i="55" s="1"/>
  <c r="AD12" i="55"/>
  <c r="AB12" i="55"/>
  <c r="X12" i="55" s="1"/>
  <c r="Y12" i="55"/>
  <c r="Q12" i="55"/>
  <c r="K12" i="55"/>
  <c r="G12" i="55" s="1"/>
  <c r="AD12" i="54"/>
  <c r="AB12" i="54"/>
  <c r="X12" i="54"/>
  <c r="Q12" i="54"/>
  <c r="K12" i="54"/>
  <c r="G12" i="54"/>
  <c r="F12" i="54"/>
  <c r="AB13" i="53"/>
  <c r="X13" i="53"/>
  <c r="T13" i="53"/>
  <c r="K13" i="53"/>
  <c r="G13" i="53" s="1"/>
  <c r="F13" i="53" s="1"/>
  <c r="AB12" i="53"/>
  <c r="X12" i="53"/>
  <c r="S12" i="53"/>
  <c r="Q12" i="53"/>
  <c r="F12" i="53" s="1"/>
  <c r="K12" i="53"/>
  <c r="G12" i="53"/>
  <c r="AB13" i="52"/>
  <c r="X13" i="52" s="1"/>
  <c r="S13" i="52"/>
  <c r="K13" i="52"/>
  <c r="G13" i="52" s="1"/>
  <c r="F13" i="52" s="1"/>
  <c r="AD12" i="52"/>
  <c r="AB12" i="52"/>
  <c r="X12" i="52" s="1"/>
  <c r="M12" i="52"/>
  <c r="K12" i="52"/>
  <c r="G12" i="52"/>
  <c r="F12" i="52" s="1"/>
  <c r="AB13" i="51"/>
  <c r="X13" i="51" s="1"/>
  <c r="K13" i="51"/>
  <c r="G13" i="51"/>
  <c r="F13" i="51" s="1"/>
  <c r="AD12" i="51"/>
  <c r="AB12" i="51"/>
  <c r="X12" i="51"/>
  <c r="S12" i="51"/>
  <c r="K12" i="51"/>
  <c r="G12" i="51"/>
  <c r="F12" i="51"/>
  <c r="AE12" i="50"/>
  <c r="AB14" i="50"/>
  <c r="X14" i="50" s="1"/>
  <c r="K14" i="50"/>
  <c r="G14" i="50" s="1"/>
  <c r="F14" i="50" s="1"/>
  <c r="AB13" i="50"/>
  <c r="X13" i="50" s="1"/>
  <c r="K13" i="50"/>
  <c r="G13" i="50" s="1"/>
  <c r="F13" i="50" s="1"/>
  <c r="AD12" i="50"/>
  <c r="AB12" i="50"/>
  <c r="X12" i="50"/>
  <c r="M12" i="50"/>
  <c r="K12" i="50"/>
  <c r="G12" i="50" s="1"/>
  <c r="F12" i="50" s="1"/>
  <c r="AB13" i="49"/>
  <c r="X13" i="49" s="1"/>
  <c r="K13" i="49"/>
  <c r="G13" i="49"/>
  <c r="F13" i="49" s="1"/>
  <c r="AD12" i="49"/>
  <c r="AB12" i="49"/>
  <c r="X12" i="49"/>
  <c r="T12" i="49"/>
  <c r="K12" i="49"/>
  <c r="G12" i="49"/>
  <c r="F12" i="49"/>
  <c r="AB13" i="48"/>
  <c r="X13" i="48" s="1"/>
  <c r="K13" i="48"/>
  <c r="G13" i="48"/>
  <c r="F13" i="48" s="1"/>
  <c r="AD12" i="48"/>
  <c r="AB12" i="48"/>
  <c r="X12" i="48"/>
  <c r="S12" i="48"/>
  <c r="K12" i="48"/>
  <c r="G12" i="48" s="1"/>
  <c r="F12" i="48" s="1"/>
  <c r="AB14" i="47"/>
  <c r="X14" i="47" s="1"/>
  <c r="K14" i="47"/>
  <c r="G14" i="47" s="1"/>
  <c r="F14" i="47" s="1"/>
  <c r="AB13" i="47"/>
  <c r="X13" i="47" s="1"/>
  <c r="F13" i="47" s="1"/>
  <c r="K13" i="47"/>
  <c r="G13" i="47"/>
  <c r="AD12" i="47"/>
  <c r="AB12" i="47"/>
  <c r="X12" i="47"/>
  <c r="K12" i="47"/>
  <c r="G12" i="47" s="1"/>
  <c r="F12" i="47" s="1"/>
  <c r="AB14" i="46"/>
  <c r="X14" i="46"/>
  <c r="K14" i="46"/>
  <c r="G14" i="46" s="1"/>
  <c r="F14" i="46" s="1"/>
  <c r="AB13" i="46"/>
  <c r="X13" i="46" s="1"/>
  <c r="T13" i="46"/>
  <c r="R13" i="46"/>
  <c r="K13" i="46"/>
  <c r="H13" i="46"/>
  <c r="G13" i="46" s="1"/>
  <c r="F13" i="46" s="1"/>
  <c r="AD12" i="46"/>
  <c r="AB12" i="46"/>
  <c r="X12" i="46" s="1"/>
  <c r="T12" i="46"/>
  <c r="K12" i="46"/>
  <c r="G12" i="46" s="1"/>
  <c r="F12" i="46" s="1"/>
  <c r="F12" i="55" l="1"/>
  <c r="AB25" i="57" l="1"/>
  <c r="X25" i="57" s="1"/>
  <c r="Q25" i="57"/>
  <c r="K25" i="57"/>
  <c r="G25" i="57" s="1"/>
  <c r="F25" i="57" s="1"/>
  <c r="AB24" i="57"/>
  <c r="X24" i="57"/>
  <c r="Q24" i="57"/>
  <c r="K24" i="57"/>
  <c r="G24" i="57"/>
  <c r="F24" i="57"/>
  <c r="AB23" i="57"/>
  <c r="X23" i="57" s="1"/>
  <c r="Q23" i="57"/>
  <c r="K23" i="57"/>
  <c r="G23" i="57" s="1"/>
  <c r="AD22" i="57"/>
  <c r="AB22" i="57"/>
  <c r="X22" i="57" s="1"/>
  <c r="R22" i="57"/>
  <c r="K22" i="57"/>
  <c r="G22" i="57"/>
  <c r="AB16" i="56"/>
  <c r="X16" i="56" s="1"/>
  <c r="S16" i="56"/>
  <c r="K16" i="56"/>
  <c r="G16" i="56" s="1"/>
  <c r="F16" i="56" s="1"/>
  <c r="Y19" i="55"/>
  <c r="AB19" i="55" s="1"/>
  <c r="X19" i="55" s="1"/>
  <c r="K19" i="55"/>
  <c r="G19" i="55" s="1"/>
  <c r="F19" i="55" s="1"/>
  <c r="AD18" i="55"/>
  <c r="AB18" i="55"/>
  <c r="X18" i="55" s="1"/>
  <c r="Y18" i="55"/>
  <c r="M18" i="55"/>
  <c r="K18" i="55"/>
  <c r="G18" i="55" s="1"/>
  <c r="AB16" i="54"/>
  <c r="X16" i="54" s="1"/>
  <c r="T16" i="54"/>
  <c r="S16" i="54"/>
  <c r="R16" i="54"/>
  <c r="Q16" i="54"/>
  <c r="K16" i="54"/>
  <c r="G16" i="54" s="1"/>
  <c r="AB19" i="53"/>
  <c r="X19" i="53"/>
  <c r="T19" i="53"/>
  <c r="K19" i="53"/>
  <c r="G19" i="53" s="1"/>
  <c r="F19" i="53" s="1"/>
  <c r="AB18" i="53"/>
  <c r="X18" i="53"/>
  <c r="S18" i="53"/>
  <c r="Q18" i="53"/>
  <c r="K18" i="53"/>
  <c r="G18" i="53"/>
  <c r="F18" i="53" s="1"/>
  <c r="AB19" i="52"/>
  <c r="X19" i="52" s="1"/>
  <c r="S19" i="52"/>
  <c r="K19" i="52"/>
  <c r="G19" i="52" s="1"/>
  <c r="AE18" i="52"/>
  <c r="AD18" i="52"/>
  <c r="AB18" i="52"/>
  <c r="X18" i="52" s="1"/>
  <c r="M18" i="52"/>
  <c r="K18" i="52"/>
  <c r="G18" i="52" s="1"/>
  <c r="F18" i="52" s="1"/>
  <c r="AB19" i="51"/>
  <c r="X19" i="51" s="1"/>
  <c r="K19" i="51"/>
  <c r="G19" i="51" s="1"/>
  <c r="F19" i="51" s="1"/>
  <c r="AD18" i="51"/>
  <c r="AB18" i="51"/>
  <c r="X18" i="51" s="1"/>
  <c r="F18" i="51" s="1"/>
  <c r="M18" i="51"/>
  <c r="K18" i="51"/>
  <c r="G18" i="51"/>
  <c r="AB22" i="50"/>
  <c r="X22" i="50"/>
  <c r="K22" i="50"/>
  <c r="G22" i="50"/>
  <c r="F22" i="50" s="1"/>
  <c r="AD21" i="50"/>
  <c r="AB21" i="50"/>
  <c r="X21" i="50"/>
  <c r="K21" i="50"/>
  <c r="G21" i="50"/>
  <c r="F21" i="50" s="1"/>
  <c r="AD20" i="50"/>
  <c r="AB20" i="50"/>
  <c r="X20" i="50"/>
  <c r="M20" i="50"/>
  <c r="K20" i="50"/>
  <c r="G20" i="50" s="1"/>
  <c r="F20" i="50" s="1"/>
  <c r="AB19" i="49"/>
  <c r="X19" i="49" s="1"/>
  <c r="K19" i="49"/>
  <c r="G19" i="49" s="1"/>
  <c r="AD18" i="49"/>
  <c r="AB18" i="49"/>
  <c r="X18" i="49" s="1"/>
  <c r="M18" i="49"/>
  <c r="K18" i="49"/>
  <c r="G18" i="49" s="1"/>
  <c r="AB19" i="48"/>
  <c r="X19" i="48" s="1"/>
  <c r="S19" i="48"/>
  <c r="K19" i="48"/>
  <c r="G19" i="48" s="1"/>
  <c r="AD18" i="48"/>
  <c r="AB18" i="48"/>
  <c r="X18" i="48" s="1"/>
  <c r="S18" i="48"/>
  <c r="K18" i="48"/>
  <c r="G18" i="48" s="1"/>
  <c r="AB22" i="47"/>
  <c r="X22" i="47" s="1"/>
  <c r="K22" i="47"/>
  <c r="G22" i="47"/>
  <c r="F22" i="47" s="1"/>
  <c r="AD21" i="47"/>
  <c r="AB21" i="47"/>
  <c r="X21" i="47"/>
  <c r="Q21" i="47"/>
  <c r="K21" i="47"/>
  <c r="G21" i="47"/>
  <c r="F21" i="47"/>
  <c r="AD20" i="47"/>
  <c r="AB20" i="47"/>
  <c r="X20" i="47"/>
  <c r="R20" i="47"/>
  <c r="K20" i="47"/>
  <c r="G20" i="47" s="1"/>
  <c r="F20" i="47" s="1"/>
  <c r="AB22" i="46"/>
  <c r="X22" i="46" s="1"/>
  <c r="K22" i="46"/>
  <c r="G22" i="46"/>
  <c r="F22" i="46" s="1"/>
  <c r="AB21" i="46"/>
  <c r="X21" i="46"/>
  <c r="K21" i="46"/>
  <c r="H21" i="46"/>
  <c r="G21" i="46" s="1"/>
  <c r="F21" i="46" s="1"/>
  <c r="AE20" i="46"/>
  <c r="AB20" i="46"/>
  <c r="X20" i="46" s="1"/>
  <c r="T20" i="46"/>
  <c r="K20" i="46"/>
  <c r="H20" i="46"/>
  <c r="G20" i="46" s="1"/>
  <c r="F20" i="46" s="1"/>
  <c r="AB20" i="57"/>
  <c r="X20" i="57"/>
  <c r="Q20" i="57"/>
  <c r="K20" i="57"/>
  <c r="G20" i="57" s="1"/>
  <c r="F20" i="57" s="1"/>
  <c r="AB19" i="57"/>
  <c r="X19" i="57"/>
  <c r="Q19" i="57"/>
  <c r="F19" i="57" s="1"/>
  <c r="K19" i="57"/>
  <c r="G19" i="57"/>
  <c r="AB18" i="57"/>
  <c r="X18" i="57" s="1"/>
  <c r="Q18" i="57"/>
  <c r="K18" i="57"/>
  <c r="G18" i="57"/>
  <c r="F18" i="57" s="1"/>
  <c r="AD17" i="57"/>
  <c r="AB17" i="57"/>
  <c r="X17" i="57"/>
  <c r="M17" i="57"/>
  <c r="K17" i="57"/>
  <c r="G17" i="57"/>
  <c r="F17" i="57"/>
  <c r="AB14" i="56"/>
  <c r="X14" i="56"/>
  <c r="S14" i="56"/>
  <c r="R14" i="56"/>
  <c r="K14" i="56"/>
  <c r="G14" i="56"/>
  <c r="F14" i="56" s="1"/>
  <c r="Y16" i="55"/>
  <c r="AB16" i="55" s="1"/>
  <c r="X16" i="55" s="1"/>
  <c r="K16" i="55"/>
  <c r="G16" i="55" s="1"/>
  <c r="F16" i="55" s="1"/>
  <c r="AD15" i="55"/>
  <c r="AB15" i="55"/>
  <c r="X15" i="55" s="1"/>
  <c r="Y15" i="55"/>
  <c r="Q15" i="55"/>
  <c r="K15" i="55"/>
  <c r="G15" i="55" s="1"/>
  <c r="AD14" i="54"/>
  <c r="AB14" i="54"/>
  <c r="X14" i="54" s="1"/>
  <c r="T14" i="54"/>
  <c r="S14" i="54"/>
  <c r="R14" i="54"/>
  <c r="Q14" i="54"/>
  <c r="K14" i="54"/>
  <c r="G14" i="54" s="1"/>
  <c r="AB16" i="53"/>
  <c r="X16" i="53" s="1"/>
  <c r="T16" i="53"/>
  <c r="K16" i="53"/>
  <c r="G16" i="53" s="1"/>
  <c r="F16" i="53" s="1"/>
  <c r="AB15" i="53"/>
  <c r="X15" i="53"/>
  <c r="S15" i="53"/>
  <c r="Q15" i="53"/>
  <c r="K15" i="53"/>
  <c r="G15" i="53"/>
  <c r="F15" i="53" s="1"/>
  <c r="AB16" i="52"/>
  <c r="X16" i="52" s="1"/>
  <c r="T16" i="52"/>
  <c r="K16" i="52"/>
  <c r="G16" i="52" s="1"/>
  <c r="AE15" i="52"/>
  <c r="AD15" i="52"/>
  <c r="AB15" i="52"/>
  <c r="X15" i="52" s="1"/>
  <c r="M15" i="52"/>
  <c r="K15" i="52"/>
  <c r="G15" i="52" s="1"/>
  <c r="AB16" i="51"/>
  <c r="X16" i="51" s="1"/>
  <c r="K16" i="51"/>
  <c r="G16" i="51" s="1"/>
  <c r="F16" i="51" s="1"/>
  <c r="AD15" i="51"/>
  <c r="AB15" i="51"/>
  <c r="X15" i="51" s="1"/>
  <c r="M15" i="51"/>
  <c r="K15" i="51"/>
  <c r="G15" i="51" s="1"/>
  <c r="F15" i="51" s="1"/>
  <c r="AB18" i="50"/>
  <c r="X18" i="50" s="1"/>
  <c r="F18" i="50" s="1"/>
  <c r="K18" i="50"/>
  <c r="G18" i="50"/>
  <c r="AD17" i="50"/>
  <c r="AB17" i="50"/>
  <c r="X17" i="50"/>
  <c r="K17" i="50"/>
  <c r="G17" i="50" s="1"/>
  <c r="F17" i="50" s="1"/>
  <c r="AD16" i="50"/>
  <c r="AB16" i="50"/>
  <c r="X16" i="50" s="1"/>
  <c r="M16" i="50"/>
  <c r="K16" i="50"/>
  <c r="G16" i="50"/>
  <c r="F16" i="50" s="1"/>
  <c r="AB16" i="49"/>
  <c r="X16" i="49" s="1"/>
  <c r="K16" i="49"/>
  <c r="G16" i="49" s="1"/>
  <c r="AD15" i="49"/>
  <c r="AB15" i="49"/>
  <c r="X15" i="49" s="1"/>
  <c r="T15" i="49"/>
  <c r="K15" i="49"/>
  <c r="G15" i="49" s="1"/>
  <c r="AD16" i="48"/>
  <c r="AB16" i="48"/>
  <c r="X16" i="48" s="1"/>
  <c r="S16" i="48"/>
  <c r="K16" i="48"/>
  <c r="G16" i="48" s="1"/>
  <c r="AD15" i="48"/>
  <c r="AB15" i="48"/>
  <c r="X15" i="48" s="1"/>
  <c r="S15" i="48"/>
  <c r="K15" i="48"/>
  <c r="G15" i="48" s="1"/>
  <c r="AB18" i="47"/>
  <c r="X18" i="47"/>
  <c r="F18" i="47" s="1"/>
  <c r="K18" i="47"/>
  <c r="G18" i="47"/>
  <c r="AB17" i="47"/>
  <c r="X17" i="47" s="1"/>
  <c r="F17" i="47" s="1"/>
  <c r="K17" i="47"/>
  <c r="G17" i="47"/>
  <c r="AD16" i="47"/>
  <c r="AB16" i="47"/>
  <c r="X16" i="47"/>
  <c r="R16" i="47"/>
  <c r="F16" i="47" s="1"/>
  <c r="K16" i="47"/>
  <c r="G16" i="47"/>
  <c r="AB18" i="46"/>
  <c r="X18" i="46" s="1"/>
  <c r="K18" i="46"/>
  <c r="G18" i="46"/>
  <c r="F18" i="46" s="1"/>
  <c r="AB17" i="46"/>
  <c r="X17" i="46"/>
  <c r="K17" i="46"/>
  <c r="H17" i="46"/>
  <c r="G17" i="46" s="1"/>
  <c r="F17" i="46" s="1"/>
  <c r="AE16" i="46"/>
  <c r="AD16" i="46"/>
  <c r="AB16" i="46"/>
  <c r="X16" i="46"/>
  <c r="T16" i="46"/>
  <c r="K16" i="46"/>
  <c r="G16" i="46" s="1"/>
  <c r="F16" i="46" s="1"/>
  <c r="H16" i="46"/>
  <c r="AE12" i="52"/>
  <c r="AE12" i="46"/>
  <c r="F14" i="54" l="1"/>
  <c r="F16" i="54"/>
  <c r="F15" i="52"/>
  <c r="F16" i="49"/>
  <c r="F18" i="49"/>
  <c r="F19" i="49"/>
  <c r="F16" i="48"/>
  <c r="F15" i="48"/>
  <c r="F23" i="57"/>
  <c r="F22" i="57"/>
  <c r="F18" i="55"/>
  <c r="F19" i="52"/>
  <c r="F18" i="48"/>
  <c r="F19" i="48"/>
  <c r="F15" i="55"/>
  <c r="F16" i="52"/>
  <c r="F15" i="49"/>
  <c r="P10" i="57" l="1"/>
  <c r="Q10" i="57" s="1"/>
  <c r="R10" i="57" s="1"/>
  <c r="S10" i="57" s="1"/>
  <c r="T10" i="57" s="1"/>
  <c r="U10" i="57" s="1"/>
  <c r="V10" i="57" s="1"/>
  <c r="W10" i="57" s="1"/>
  <c r="X10" i="57" s="1"/>
  <c r="Y10" i="57" s="1"/>
  <c r="Z10" i="57" s="1"/>
  <c r="AA10" i="57" s="1"/>
  <c r="AB10" i="57" s="1"/>
  <c r="AC10" i="57" s="1"/>
  <c r="AD10" i="57" s="1"/>
  <c r="AE10" i="57" s="1"/>
  <c r="P10" i="56"/>
  <c r="Q10" i="56" s="1"/>
  <c r="R10" i="56" s="1"/>
  <c r="S10" i="56" s="1"/>
  <c r="T10" i="56" s="1"/>
  <c r="U10" i="56" s="1"/>
  <c r="V10" i="56" s="1"/>
  <c r="W10" i="56" s="1"/>
  <c r="X10" i="56" s="1"/>
  <c r="Y10" i="56" s="1"/>
  <c r="Z10" i="56" s="1"/>
  <c r="AA10" i="56" s="1"/>
  <c r="AB10" i="56" s="1"/>
  <c r="AC10" i="56" s="1"/>
  <c r="AD10" i="56" s="1"/>
  <c r="AE10" i="56" s="1"/>
  <c r="P10" i="55"/>
  <c r="Q10" i="55" s="1"/>
  <c r="R10" i="55" s="1"/>
  <c r="S10" i="55" s="1"/>
  <c r="T10" i="55" s="1"/>
  <c r="U10" i="55" s="1"/>
  <c r="V10" i="55" s="1"/>
  <c r="W10" i="55" s="1"/>
  <c r="X10" i="55" s="1"/>
  <c r="Y10" i="55" s="1"/>
  <c r="Z10" i="55" s="1"/>
  <c r="AA10" i="55" s="1"/>
  <c r="AB10" i="55" s="1"/>
  <c r="AC10" i="55" s="1"/>
  <c r="AD10" i="55" s="1"/>
  <c r="AE10" i="55" s="1"/>
  <c r="P10" i="54"/>
  <c r="Q10" i="54" s="1"/>
  <c r="R10" i="54" s="1"/>
  <c r="S10" i="54" s="1"/>
  <c r="T10" i="54" s="1"/>
  <c r="U10" i="54" s="1"/>
  <c r="V10" i="54" s="1"/>
  <c r="W10" i="54" s="1"/>
  <c r="X10" i="54" s="1"/>
  <c r="Y10" i="54" s="1"/>
  <c r="Z10" i="54" s="1"/>
  <c r="AA10" i="54" s="1"/>
  <c r="AB10" i="54" s="1"/>
  <c r="AC10" i="54" s="1"/>
  <c r="AD10" i="54" s="1"/>
  <c r="AE10" i="54" s="1"/>
  <c r="P10" i="53"/>
  <c r="Q10" i="53" s="1"/>
  <c r="R10" i="53" s="1"/>
  <c r="S10" i="53" s="1"/>
  <c r="T10" i="53" s="1"/>
  <c r="U10" i="53" s="1"/>
  <c r="V10" i="53" s="1"/>
  <c r="W10" i="53" s="1"/>
  <c r="X10" i="53" s="1"/>
  <c r="Y10" i="53" s="1"/>
  <c r="Z10" i="53" s="1"/>
  <c r="AA10" i="53" s="1"/>
  <c r="AB10" i="53" s="1"/>
  <c r="AC10" i="53" s="1"/>
  <c r="AD10" i="53" s="1"/>
  <c r="AE10" i="53" s="1"/>
  <c r="P10" i="52"/>
  <c r="Q10" i="52" s="1"/>
  <c r="R10" i="52" s="1"/>
  <c r="S10" i="52" s="1"/>
  <c r="T10" i="52" s="1"/>
  <c r="U10" i="52" s="1"/>
  <c r="V10" i="52" s="1"/>
  <c r="W10" i="52" s="1"/>
  <c r="X10" i="52" s="1"/>
  <c r="Y10" i="52" s="1"/>
  <c r="Z10" i="52" s="1"/>
  <c r="AA10" i="52" s="1"/>
  <c r="AB10" i="52" s="1"/>
  <c r="AC10" i="52" s="1"/>
  <c r="AD10" i="52" s="1"/>
  <c r="AE10" i="52" s="1"/>
  <c r="P10" i="51"/>
  <c r="Q10" i="51" s="1"/>
  <c r="R10" i="51" s="1"/>
  <c r="S10" i="51" s="1"/>
  <c r="T10" i="51" s="1"/>
  <c r="U10" i="51" s="1"/>
  <c r="V10" i="51" s="1"/>
  <c r="W10" i="51" s="1"/>
  <c r="X10" i="51" s="1"/>
  <c r="Y10" i="51" s="1"/>
  <c r="Z10" i="51" s="1"/>
  <c r="AA10" i="51" s="1"/>
  <c r="AB10" i="51" s="1"/>
  <c r="AC10" i="51" s="1"/>
  <c r="AD10" i="51" s="1"/>
  <c r="AE10" i="51" s="1"/>
  <c r="P10" i="50"/>
  <c r="Q10" i="50" s="1"/>
  <c r="R10" i="50" s="1"/>
  <c r="S10" i="50" s="1"/>
  <c r="T10" i="50" s="1"/>
  <c r="U10" i="50" s="1"/>
  <c r="V10" i="50" s="1"/>
  <c r="W10" i="50" s="1"/>
  <c r="X10" i="50" s="1"/>
  <c r="Y10" i="50" s="1"/>
  <c r="Z10" i="50" s="1"/>
  <c r="AA10" i="50" s="1"/>
  <c r="AB10" i="50" s="1"/>
  <c r="AC10" i="50" s="1"/>
  <c r="AD10" i="50" s="1"/>
  <c r="AE10" i="50" s="1"/>
  <c r="P10" i="49" l="1"/>
  <c r="Q10" i="49" s="1"/>
  <c r="R10" i="49" s="1"/>
  <c r="S10" i="49" s="1"/>
  <c r="T10" i="49" s="1"/>
  <c r="U10" i="49" s="1"/>
  <c r="V10" i="49" s="1"/>
  <c r="W10" i="49" s="1"/>
  <c r="X10" i="49" s="1"/>
  <c r="Y10" i="49" s="1"/>
  <c r="Z10" i="49" s="1"/>
  <c r="AA10" i="49" s="1"/>
  <c r="AB10" i="49" s="1"/>
  <c r="AC10" i="49" s="1"/>
  <c r="AD10" i="49" s="1"/>
  <c r="AE10" i="49" s="1"/>
  <c r="P10" i="48" l="1"/>
  <c r="Q10" i="48" s="1"/>
  <c r="R10" i="48" s="1"/>
  <c r="S10" i="48" s="1"/>
  <c r="T10" i="48" s="1"/>
  <c r="U10" i="48" s="1"/>
  <c r="V10" i="48" s="1"/>
  <c r="W10" i="48" s="1"/>
  <c r="X10" i="48" s="1"/>
  <c r="Y10" i="48" s="1"/>
  <c r="Z10" i="48" s="1"/>
  <c r="AA10" i="48" s="1"/>
  <c r="AB10" i="48" s="1"/>
  <c r="AC10" i="48" s="1"/>
  <c r="AD10" i="48" s="1"/>
  <c r="AE10" i="48" s="1"/>
  <c r="P10" i="47"/>
  <c r="Q10" i="47" s="1"/>
  <c r="R10" i="47" s="1"/>
  <c r="S10" i="47" s="1"/>
  <c r="T10" i="47" s="1"/>
  <c r="U10" i="47" s="1"/>
  <c r="V10" i="47" s="1"/>
  <c r="W10" i="47" s="1"/>
  <c r="X10" i="47" s="1"/>
  <c r="Y10" i="47" s="1"/>
  <c r="Z10" i="47" s="1"/>
  <c r="AA10" i="47" s="1"/>
  <c r="AB10" i="47" s="1"/>
  <c r="AC10" i="47" s="1"/>
  <c r="AD10" i="47" s="1"/>
  <c r="AE10" i="47" s="1"/>
  <c r="P10" i="46" l="1"/>
  <c r="Q10" i="46" s="1"/>
  <c r="R10" i="46" s="1"/>
  <c r="S10" i="46" s="1"/>
  <c r="T10" i="46" s="1"/>
  <c r="U10" i="46" s="1"/>
  <c r="V10" i="46" s="1"/>
  <c r="W10" i="46" s="1"/>
  <c r="X10" i="46" s="1"/>
  <c r="Y10" i="46" s="1"/>
  <c r="Z10" i="46" s="1"/>
  <c r="AA10" i="46" s="1"/>
  <c r="AB10" i="46" s="1"/>
  <c r="AC10" i="46" s="1"/>
  <c r="AD10" i="46" s="1"/>
  <c r="AE10" i="46" s="1"/>
  <c r="X5" i="30" l="1"/>
  <c r="AI44" i="26" l="1"/>
  <c r="AI44" i="28"/>
  <c r="AI44" i="27"/>
  <c r="AI44" i="30"/>
  <c r="AI44" i="31"/>
  <c r="AI44" i="29"/>
  <c r="AH44" i="26"/>
  <c r="AH44" i="28"/>
  <c r="AH44" i="27"/>
  <c r="AH44" i="30"/>
  <c r="AH44" i="31"/>
  <c r="AH44" i="29"/>
  <c r="AF44" i="29" l="1"/>
  <c r="AG44" i="29"/>
  <c r="AE44" i="29"/>
  <c r="N22" i="31"/>
  <c r="J22" i="31"/>
  <c r="G22" i="31"/>
  <c r="C22" i="31"/>
  <c r="N16" i="31"/>
  <c r="Y16" i="31" s="1"/>
  <c r="J16" i="31"/>
  <c r="N15" i="31"/>
  <c r="J15" i="31"/>
  <c r="N14" i="31"/>
  <c r="O14" i="31" s="1"/>
  <c r="J14" i="31"/>
  <c r="G14" i="31"/>
  <c r="C14" i="31"/>
  <c r="N13" i="31"/>
  <c r="J13" i="31"/>
  <c r="G13" i="31"/>
  <c r="C13" i="31"/>
  <c r="N12" i="31"/>
  <c r="Y12" i="31" s="1"/>
  <c r="J12" i="31"/>
  <c r="G12" i="31"/>
  <c r="C12" i="31"/>
  <c r="U11" i="31"/>
  <c r="V11" i="31" s="1"/>
  <c r="Q11" i="31"/>
  <c r="N11" i="31"/>
  <c r="J11" i="31"/>
  <c r="G11" i="31"/>
  <c r="Y11" i="31" s="1"/>
  <c r="C11" i="31"/>
  <c r="U10" i="31"/>
  <c r="Q10" i="31"/>
  <c r="N10" i="31"/>
  <c r="J10" i="31"/>
  <c r="G10" i="31"/>
  <c r="C10" i="31"/>
  <c r="U9" i="31"/>
  <c r="Q9" i="31"/>
  <c r="N9" i="31"/>
  <c r="J9" i="31"/>
  <c r="G9" i="31"/>
  <c r="C9" i="31"/>
  <c r="U8" i="31"/>
  <c r="Q8" i="31"/>
  <c r="N8" i="31"/>
  <c r="Y8" i="31" s="1"/>
  <c r="J8" i="31"/>
  <c r="G8" i="31"/>
  <c r="C8" i="31"/>
  <c r="U7" i="31"/>
  <c r="Q7" i="31"/>
  <c r="N7" i="31"/>
  <c r="J7" i="31"/>
  <c r="G7" i="31"/>
  <c r="C7" i="31"/>
  <c r="U6" i="31"/>
  <c r="Q6" i="31"/>
  <c r="N6" i="31"/>
  <c r="O6" i="31" s="1"/>
  <c r="J6" i="31"/>
  <c r="G6" i="31"/>
  <c r="C6" i="31"/>
  <c r="U5" i="31"/>
  <c r="Q5" i="31"/>
  <c r="N5" i="31"/>
  <c r="J5" i="31"/>
  <c r="G5" i="31"/>
  <c r="C5" i="31"/>
  <c r="P22" i="31"/>
  <c r="M22" i="31"/>
  <c r="L22" i="31"/>
  <c r="I22" i="31"/>
  <c r="F22" i="31"/>
  <c r="E22" i="31"/>
  <c r="B22" i="31"/>
  <c r="W16" i="31"/>
  <c r="X16" i="31" s="1"/>
  <c r="M16" i="31"/>
  <c r="L16" i="31"/>
  <c r="I16" i="31"/>
  <c r="W15" i="31"/>
  <c r="M15" i="31"/>
  <c r="L15" i="31"/>
  <c r="I15" i="31"/>
  <c r="W14" i="31"/>
  <c r="M14" i="31"/>
  <c r="L14" i="31"/>
  <c r="I14" i="31"/>
  <c r="F14" i="31"/>
  <c r="X14" i="31" s="1"/>
  <c r="E14" i="31"/>
  <c r="B14" i="31"/>
  <c r="W13" i="31"/>
  <c r="M13" i="31"/>
  <c r="L13" i="31"/>
  <c r="I13" i="31"/>
  <c r="F13" i="31"/>
  <c r="E13" i="31"/>
  <c r="B13" i="31"/>
  <c r="M12" i="31"/>
  <c r="L12" i="31"/>
  <c r="I12" i="31"/>
  <c r="F12" i="31"/>
  <c r="E12" i="31"/>
  <c r="B12" i="31"/>
  <c r="W11" i="31"/>
  <c r="T11" i="31"/>
  <c r="S11" i="31"/>
  <c r="P11" i="31"/>
  <c r="M11" i="31"/>
  <c r="L11" i="31"/>
  <c r="I11" i="31"/>
  <c r="F11" i="31"/>
  <c r="E11" i="31"/>
  <c r="B11" i="31"/>
  <c r="W10" i="31"/>
  <c r="T10" i="31"/>
  <c r="S10" i="31"/>
  <c r="P10" i="31"/>
  <c r="M10" i="31"/>
  <c r="L10" i="31"/>
  <c r="I10" i="31"/>
  <c r="F10" i="31"/>
  <c r="E10" i="31"/>
  <c r="B10" i="31"/>
  <c r="D10" i="31" s="1"/>
  <c r="W9" i="31"/>
  <c r="T9" i="31"/>
  <c r="S9" i="31"/>
  <c r="P9" i="31"/>
  <c r="M9" i="31"/>
  <c r="L9" i="31"/>
  <c r="I9" i="31"/>
  <c r="F9" i="31"/>
  <c r="E9" i="31"/>
  <c r="B9" i="31"/>
  <c r="W8" i="31"/>
  <c r="T8" i="31"/>
  <c r="V8" i="31" s="1"/>
  <c r="S8" i="31"/>
  <c r="P8" i="31"/>
  <c r="M8" i="31"/>
  <c r="L8" i="31"/>
  <c r="I8" i="31"/>
  <c r="F8" i="31"/>
  <c r="E8" i="31"/>
  <c r="B8" i="31"/>
  <c r="W7" i="31"/>
  <c r="T7" i="31"/>
  <c r="S7" i="31"/>
  <c r="P7" i="31"/>
  <c r="M7" i="31"/>
  <c r="L7" i="31"/>
  <c r="I7" i="31"/>
  <c r="F7" i="31"/>
  <c r="E7" i="31"/>
  <c r="B7" i="31"/>
  <c r="W6" i="31"/>
  <c r="T6" i="31"/>
  <c r="T17" i="31" s="1"/>
  <c r="S6" i="31"/>
  <c r="P6" i="31"/>
  <c r="M6" i="31"/>
  <c r="L6" i="31"/>
  <c r="I6" i="31"/>
  <c r="F6" i="31"/>
  <c r="E6" i="31"/>
  <c r="B6" i="31"/>
  <c r="B17" i="31" s="1"/>
  <c r="W5" i="31"/>
  <c r="T5" i="31"/>
  <c r="S5" i="31"/>
  <c r="P5" i="31"/>
  <c r="M5" i="31"/>
  <c r="M17" i="31" s="1"/>
  <c r="L5" i="31"/>
  <c r="I5" i="31"/>
  <c r="F5" i="31"/>
  <c r="E5" i="31"/>
  <c r="B5" i="31"/>
  <c r="C31" i="31"/>
  <c r="Q22" i="31"/>
  <c r="H22" i="31"/>
  <c r="O15" i="31"/>
  <c r="K14" i="31"/>
  <c r="K12" i="31"/>
  <c r="X12" i="31"/>
  <c r="K11" i="31"/>
  <c r="H10" i="31"/>
  <c r="V9" i="31"/>
  <c r="O9" i="31"/>
  <c r="D9" i="31"/>
  <c r="R8" i="31"/>
  <c r="D7" i="31"/>
  <c r="H6" i="31"/>
  <c r="G17" i="31"/>
  <c r="P22" i="30"/>
  <c r="C31" i="30"/>
  <c r="N22" i="30"/>
  <c r="O22" i="30" s="1"/>
  <c r="M22" i="30"/>
  <c r="L22" i="30"/>
  <c r="J22" i="30"/>
  <c r="I22" i="30"/>
  <c r="G22" i="30"/>
  <c r="F22" i="30"/>
  <c r="Q22" i="30" s="1"/>
  <c r="E22" i="30"/>
  <c r="C22" i="30"/>
  <c r="D22" i="30" s="1"/>
  <c r="B22" i="30"/>
  <c r="AG48" i="27"/>
  <c r="AG47" i="26"/>
  <c r="W16" i="30"/>
  <c r="N16" i="30"/>
  <c r="M16" i="30"/>
  <c r="L16" i="30"/>
  <c r="J16" i="30"/>
  <c r="I16" i="30"/>
  <c r="W15" i="30"/>
  <c r="N15" i="30"/>
  <c r="Y15" i="30" s="1"/>
  <c r="M15" i="30"/>
  <c r="L15" i="30"/>
  <c r="J15" i="30"/>
  <c r="I15" i="30"/>
  <c r="W14" i="30"/>
  <c r="N14" i="30"/>
  <c r="M14" i="30"/>
  <c r="L14" i="30"/>
  <c r="J14" i="30"/>
  <c r="I14" i="30"/>
  <c r="G14" i="30"/>
  <c r="F14" i="30"/>
  <c r="E14" i="30"/>
  <c r="C14" i="30"/>
  <c r="B14" i="30"/>
  <c r="Y14" i="30"/>
  <c r="W13" i="30"/>
  <c r="N13" i="30"/>
  <c r="M13" i="30"/>
  <c r="L13" i="30"/>
  <c r="J13" i="30"/>
  <c r="I13" i="30"/>
  <c r="G13" i="30"/>
  <c r="F13" i="30"/>
  <c r="X13" i="30" s="1"/>
  <c r="E13" i="30"/>
  <c r="C13" i="30"/>
  <c r="B13" i="30"/>
  <c r="D6" i="31" l="1"/>
  <c r="K7" i="31"/>
  <c r="K9" i="31"/>
  <c r="R10" i="31"/>
  <c r="D14" i="31"/>
  <c r="V6" i="31"/>
  <c r="X9" i="31"/>
  <c r="X13" i="31"/>
  <c r="Y13" i="30"/>
  <c r="K22" i="30"/>
  <c r="R22" i="30"/>
  <c r="K6" i="31"/>
  <c r="R7" i="31"/>
  <c r="O11" i="31"/>
  <c r="O7" i="31"/>
  <c r="H13" i="31"/>
  <c r="D5" i="31"/>
  <c r="O5" i="31"/>
  <c r="R6" i="31"/>
  <c r="D8" i="31"/>
  <c r="R9" i="31"/>
  <c r="D11" i="31"/>
  <c r="Y13" i="31"/>
  <c r="K5" i="31"/>
  <c r="P17" i="31"/>
  <c r="U17" i="31"/>
  <c r="Y7" i="31"/>
  <c r="V7" i="31"/>
  <c r="K8" i="31"/>
  <c r="H9" i="31"/>
  <c r="K10" i="31"/>
  <c r="V10" i="31"/>
  <c r="K13" i="31"/>
  <c r="K22" i="31"/>
  <c r="I17" i="31"/>
  <c r="X7" i="31"/>
  <c r="O8" i="31"/>
  <c r="O10" i="31"/>
  <c r="X10" i="31"/>
  <c r="R11" i="31"/>
  <c r="D13" i="31"/>
  <c r="K15" i="31"/>
  <c r="D22" i="31"/>
  <c r="R22" i="31"/>
  <c r="X5" i="31"/>
  <c r="Q17" i="31"/>
  <c r="X6" i="31"/>
  <c r="W17" i="31"/>
  <c r="X8" i="31"/>
  <c r="Z8" i="31" s="1"/>
  <c r="X11" i="31"/>
  <c r="Z11" i="31" s="1"/>
  <c r="D12" i="31"/>
  <c r="O12" i="31"/>
  <c r="Y14" i="31"/>
  <c r="X15" i="31"/>
  <c r="K16" i="31"/>
  <c r="S22" i="31"/>
  <c r="Z12" i="31"/>
  <c r="Z16" i="31"/>
  <c r="Z14" i="31"/>
  <c r="Y5" i="31"/>
  <c r="Z5" i="31" s="1"/>
  <c r="Y9" i="31"/>
  <c r="Z9" i="31" s="1"/>
  <c r="C17" i="31"/>
  <c r="R5" i="31"/>
  <c r="Y10" i="31"/>
  <c r="H11" i="31"/>
  <c r="N17" i="31"/>
  <c r="H8" i="31"/>
  <c r="H12" i="31"/>
  <c r="O13" i="31"/>
  <c r="Y15" i="31"/>
  <c r="Z15" i="31" s="1"/>
  <c r="O16" i="31"/>
  <c r="F17" i="31"/>
  <c r="X17" i="31" s="1"/>
  <c r="C29" i="31" s="1"/>
  <c r="C32" i="31" s="1"/>
  <c r="J17" i="31"/>
  <c r="O22" i="31"/>
  <c r="V5" i="31"/>
  <c r="Y6" i="31"/>
  <c r="H7" i="31"/>
  <c r="H14" i="31"/>
  <c r="H5" i="31"/>
  <c r="X16" i="30"/>
  <c r="X15" i="30"/>
  <c r="Z15" i="30" s="1"/>
  <c r="S22" i="30"/>
  <c r="Z13" i="30"/>
  <c r="X14" i="30"/>
  <c r="Z14" i="30" s="1"/>
  <c r="H22" i="30"/>
  <c r="Y16" i="30"/>
  <c r="Z16" i="30" s="1"/>
  <c r="N12" i="30"/>
  <c r="M12" i="30"/>
  <c r="L12" i="30"/>
  <c r="J12" i="30"/>
  <c r="I12" i="30"/>
  <c r="K12" i="30" s="1"/>
  <c r="G12" i="30"/>
  <c r="F12" i="30"/>
  <c r="X12" i="30" s="1"/>
  <c r="E12" i="30"/>
  <c r="C12" i="30"/>
  <c r="B12" i="30"/>
  <c r="W11" i="30"/>
  <c r="U11" i="30"/>
  <c r="T11" i="30"/>
  <c r="V11" i="30" s="1"/>
  <c r="S11" i="30"/>
  <c r="Q11" i="30"/>
  <c r="R11" i="30" s="1"/>
  <c r="P11" i="30"/>
  <c r="N11" i="30"/>
  <c r="M11" i="30"/>
  <c r="L11" i="30"/>
  <c r="J11" i="30"/>
  <c r="I11" i="30"/>
  <c r="G11" i="30"/>
  <c r="F11" i="30"/>
  <c r="H11" i="30" s="1"/>
  <c r="E11" i="30"/>
  <c r="C11" i="30"/>
  <c r="B11" i="30"/>
  <c r="W10" i="30"/>
  <c r="U10" i="30"/>
  <c r="T10" i="30"/>
  <c r="V10" i="30" s="1"/>
  <c r="S10" i="30"/>
  <c r="Q10" i="30"/>
  <c r="R10" i="30" s="1"/>
  <c r="P10" i="30"/>
  <c r="N10" i="30"/>
  <c r="M10" i="30"/>
  <c r="L10" i="30"/>
  <c r="J10" i="30"/>
  <c r="I10" i="30"/>
  <c r="K10" i="30" s="1"/>
  <c r="G10" i="30"/>
  <c r="F10" i="30"/>
  <c r="E10" i="30"/>
  <c r="C10" i="30"/>
  <c r="B10" i="30"/>
  <c r="W9" i="30"/>
  <c r="U9" i="30"/>
  <c r="T9" i="30"/>
  <c r="V9" i="30" s="1"/>
  <c r="S9" i="30"/>
  <c r="Q9" i="30"/>
  <c r="R9" i="30" s="1"/>
  <c r="P9" i="30"/>
  <c r="N9" i="30"/>
  <c r="M9" i="30"/>
  <c r="L9" i="30"/>
  <c r="J9" i="30"/>
  <c r="I9" i="30"/>
  <c r="K9" i="30" s="1"/>
  <c r="G9" i="30"/>
  <c r="F9" i="30"/>
  <c r="H9" i="30" s="1"/>
  <c r="E9" i="30"/>
  <c r="C9" i="30"/>
  <c r="B9" i="30"/>
  <c r="W8" i="30"/>
  <c r="U8" i="30"/>
  <c r="T8" i="30"/>
  <c r="V8" i="30" s="1"/>
  <c r="S8" i="30"/>
  <c r="Q8" i="30"/>
  <c r="P8" i="30"/>
  <c r="N8" i="30"/>
  <c r="O8" i="30" s="1"/>
  <c r="M8" i="30"/>
  <c r="L8" i="30"/>
  <c r="J8" i="30"/>
  <c r="I8" i="30"/>
  <c r="K8" i="30" s="1"/>
  <c r="G8" i="30"/>
  <c r="F8" i="30"/>
  <c r="H8" i="30" s="1"/>
  <c r="E8" i="30"/>
  <c r="C8" i="30"/>
  <c r="D8" i="30" s="1"/>
  <c r="B8" i="30"/>
  <c r="W7" i="30"/>
  <c r="U7" i="30"/>
  <c r="T7" i="30"/>
  <c r="V7" i="30" s="1"/>
  <c r="S7" i="30"/>
  <c r="Q7" i="30"/>
  <c r="R7" i="30" s="1"/>
  <c r="P7" i="30"/>
  <c r="N7" i="30"/>
  <c r="M7" i="30"/>
  <c r="L7" i="30"/>
  <c r="J7" i="30"/>
  <c r="I7" i="30"/>
  <c r="G7" i="30"/>
  <c r="F7" i="30"/>
  <c r="H7" i="30" s="1"/>
  <c r="E7" i="30"/>
  <c r="C7" i="30"/>
  <c r="D7" i="30" s="1"/>
  <c r="B7" i="30"/>
  <c r="W6" i="30"/>
  <c r="U6" i="30"/>
  <c r="T6" i="30"/>
  <c r="S6" i="30"/>
  <c r="Q6" i="30"/>
  <c r="P6" i="30"/>
  <c r="N6" i="30"/>
  <c r="M6" i="30"/>
  <c r="L6" i="30"/>
  <c r="J6" i="30"/>
  <c r="I6" i="30"/>
  <c r="G6" i="30"/>
  <c r="F6" i="30"/>
  <c r="E6" i="30"/>
  <c r="C6" i="30"/>
  <c r="B6" i="30"/>
  <c r="W5" i="30"/>
  <c r="U5" i="30"/>
  <c r="T5" i="30"/>
  <c r="T17" i="30" s="1"/>
  <c r="S5" i="30"/>
  <c r="Q5" i="30"/>
  <c r="P5" i="30"/>
  <c r="O13" i="30"/>
  <c r="O14" i="30"/>
  <c r="O15" i="30"/>
  <c r="O16" i="30"/>
  <c r="N5" i="30"/>
  <c r="N17" i="30" s="1"/>
  <c r="M5" i="30"/>
  <c r="L5" i="30"/>
  <c r="K13" i="30"/>
  <c r="K14" i="30"/>
  <c r="K15" i="30"/>
  <c r="K16" i="30"/>
  <c r="H13" i="30"/>
  <c r="H14" i="30"/>
  <c r="D13" i="30"/>
  <c r="D14" i="30"/>
  <c r="J5" i="30"/>
  <c r="I5" i="30"/>
  <c r="G5" i="30"/>
  <c r="F5" i="30"/>
  <c r="E5" i="30"/>
  <c r="C5" i="30"/>
  <c r="B5" i="30"/>
  <c r="V17" i="31" l="1"/>
  <c r="Z7" i="31"/>
  <c r="Z13" i="31"/>
  <c r="Y17" i="31"/>
  <c r="C30" i="31" s="1"/>
  <c r="C33" i="31" s="1"/>
  <c r="D6" i="30"/>
  <c r="Z6" i="31"/>
  <c r="Z10" i="31"/>
  <c r="R17" i="31"/>
  <c r="K17" i="31"/>
  <c r="D17" i="31"/>
  <c r="O17" i="31"/>
  <c r="H17" i="31"/>
  <c r="Y6" i="30"/>
  <c r="F17" i="30"/>
  <c r="D9" i="30"/>
  <c r="O9" i="30"/>
  <c r="O10" i="30"/>
  <c r="D11" i="30"/>
  <c r="O11" i="30"/>
  <c r="D12" i="30"/>
  <c r="V6" i="30"/>
  <c r="B17" i="30"/>
  <c r="Q17" i="30"/>
  <c r="H12" i="30"/>
  <c r="M17" i="30"/>
  <c r="X17" i="30" s="1"/>
  <c r="C29" i="30" s="1"/>
  <c r="C32" i="30" s="1"/>
  <c r="O12" i="30"/>
  <c r="H6" i="30"/>
  <c r="W17" i="30"/>
  <c r="X6" i="30"/>
  <c r="Z6" i="30" s="1"/>
  <c r="H5" i="30"/>
  <c r="G17" i="30"/>
  <c r="Y5" i="30"/>
  <c r="Z5" i="30" s="1"/>
  <c r="C17" i="30"/>
  <c r="I17" i="30"/>
  <c r="V5" i="30"/>
  <c r="U17" i="30"/>
  <c r="R6" i="30"/>
  <c r="K7" i="30"/>
  <c r="Y9" i="30"/>
  <c r="K11" i="30"/>
  <c r="X7" i="30"/>
  <c r="K5" i="30"/>
  <c r="J17" i="30"/>
  <c r="R5" i="30"/>
  <c r="O6" i="30"/>
  <c r="D10" i="30"/>
  <c r="H10" i="30"/>
  <c r="Y12" i="30"/>
  <c r="Z12" i="30" s="1"/>
  <c r="Y11" i="30"/>
  <c r="X11" i="30"/>
  <c r="X10" i="30"/>
  <c r="Y10" i="30"/>
  <c r="X9" i="30"/>
  <c r="Z9" i="30" s="1"/>
  <c r="Y8" i="30"/>
  <c r="R8" i="30"/>
  <c r="X8" i="30"/>
  <c r="Y7" i="30"/>
  <c r="O7" i="30"/>
  <c r="K6" i="30"/>
  <c r="D5" i="30"/>
  <c r="O5" i="30"/>
  <c r="Z17" i="31" l="1"/>
  <c r="Z7" i="30"/>
  <c r="V17" i="30"/>
  <c r="Z8" i="30"/>
  <c r="Z10" i="30"/>
  <c r="D17" i="30"/>
  <c r="Y17" i="30"/>
  <c r="K17" i="30"/>
  <c r="H17" i="30"/>
  <c r="O17" i="30"/>
  <c r="Z11" i="30"/>
  <c r="R17" i="30"/>
  <c r="P17" i="30"/>
  <c r="Z17" i="30" l="1"/>
  <c r="C30" i="30"/>
  <c r="C33" i="30" s="1"/>
  <c r="AB2" i="26" l="1"/>
  <c r="AA2" i="26"/>
  <c r="Z2" i="26"/>
  <c r="AB2" i="28"/>
  <c r="AA2" i="28"/>
  <c r="Z2" i="28"/>
  <c r="AB2" i="29"/>
  <c r="AA2" i="29"/>
  <c r="Z2" i="29"/>
  <c r="AB2" i="27"/>
  <c r="AA2" i="27"/>
  <c r="Z2" i="27"/>
  <c r="AK44" i="27" l="1"/>
  <c r="AJ44" i="27"/>
  <c r="AL44" i="28"/>
  <c r="AK44" i="28"/>
  <c r="AL44" i="26"/>
  <c r="AK44" i="26"/>
  <c r="AB43" i="29"/>
  <c r="X43" i="29"/>
  <c r="K43" i="29"/>
  <c r="G43" i="29" s="1"/>
  <c r="F43" i="29" s="1"/>
  <c r="AE43" i="29" s="1"/>
  <c r="AB42" i="29"/>
  <c r="X42" i="29" s="1"/>
  <c r="F42" i="29" s="1"/>
  <c r="AE42" i="29" s="1"/>
  <c r="K42" i="29"/>
  <c r="G42" i="29"/>
  <c r="AB41" i="29"/>
  <c r="X41" i="29"/>
  <c r="K41" i="29"/>
  <c r="G41" i="29" s="1"/>
  <c r="F41" i="29" s="1"/>
  <c r="AE41" i="29" s="1"/>
  <c r="AD40" i="29"/>
  <c r="AB40" i="29"/>
  <c r="X40" i="29"/>
  <c r="K40" i="29"/>
  <c r="G40" i="29" s="1"/>
  <c r="F40" i="29" s="1"/>
  <c r="AE40" i="29" s="1"/>
  <c r="AB39" i="29"/>
  <c r="X39" i="29"/>
  <c r="S39" i="29"/>
  <c r="K39" i="29"/>
  <c r="G39" i="29" s="1"/>
  <c r="F39" i="29" s="1"/>
  <c r="AE39" i="29" s="1"/>
  <c r="AG39" i="29" s="1"/>
  <c r="AD38" i="29"/>
  <c r="AB38" i="29"/>
  <c r="X38" i="29"/>
  <c r="K38" i="29"/>
  <c r="G38" i="29" s="1"/>
  <c r="F38" i="29" s="1"/>
  <c r="AE38" i="29" s="1"/>
  <c r="AG38" i="29" s="1"/>
  <c r="AB37" i="29"/>
  <c r="X37" i="29" s="1"/>
  <c r="F37" i="29" s="1"/>
  <c r="AE37" i="29" s="1"/>
  <c r="K37" i="29"/>
  <c r="G37" i="29"/>
  <c r="AD36" i="29"/>
  <c r="AB36" i="29"/>
  <c r="X36" i="29" s="1"/>
  <c r="F36" i="29" s="1"/>
  <c r="AE36" i="29" s="1"/>
  <c r="AG36" i="29" s="1"/>
  <c r="K36" i="29"/>
  <c r="G36" i="29"/>
  <c r="AB35" i="29"/>
  <c r="X35" i="29"/>
  <c r="K35" i="29"/>
  <c r="G35" i="29" s="1"/>
  <c r="F35" i="29" s="1"/>
  <c r="AE35" i="29" s="1"/>
  <c r="AD34" i="29"/>
  <c r="AB34" i="29"/>
  <c r="X34" i="29"/>
  <c r="K34" i="29"/>
  <c r="G34" i="29" s="1"/>
  <c r="F34" i="29" s="1"/>
  <c r="AE34" i="29" s="1"/>
  <c r="AG34" i="29" s="1"/>
  <c r="AB33" i="29"/>
  <c r="X33" i="29" s="1"/>
  <c r="T33" i="29"/>
  <c r="K33" i="29"/>
  <c r="G33" i="29"/>
  <c r="AB32" i="29"/>
  <c r="X32" i="29" s="1"/>
  <c r="F32" i="29" s="1"/>
  <c r="AE32" i="29" s="1"/>
  <c r="K32" i="29"/>
  <c r="G32" i="29"/>
  <c r="AB31" i="29"/>
  <c r="X31" i="29"/>
  <c r="K31" i="29"/>
  <c r="G31" i="29" s="1"/>
  <c r="F31" i="29" s="1"/>
  <c r="AE31" i="29" s="1"/>
  <c r="AD30" i="29"/>
  <c r="AB30" i="29"/>
  <c r="X30" i="29"/>
  <c r="K30" i="29"/>
  <c r="G30" i="29"/>
  <c r="F30" i="29" s="1"/>
  <c r="AE30" i="29" s="1"/>
  <c r="AD29" i="29"/>
  <c r="AB29" i="29"/>
  <c r="X29" i="29"/>
  <c r="K29" i="29"/>
  <c r="G29" i="29"/>
  <c r="F29" i="29" s="1"/>
  <c r="AE29" i="29" s="1"/>
  <c r="AG29" i="29" s="1"/>
  <c r="AB28" i="29"/>
  <c r="X28" i="29"/>
  <c r="F28" i="29" s="1"/>
  <c r="AE28" i="29" s="1"/>
  <c r="K28" i="29"/>
  <c r="G28" i="29"/>
  <c r="AD27" i="29"/>
  <c r="AB27" i="29"/>
  <c r="X27" i="29"/>
  <c r="K27" i="29"/>
  <c r="G27" i="29" s="1"/>
  <c r="F27" i="29" s="1"/>
  <c r="AE27" i="29" s="1"/>
  <c r="AD26" i="29"/>
  <c r="AB26" i="29"/>
  <c r="X26" i="29"/>
  <c r="K26" i="29"/>
  <c r="G26" i="29" s="1"/>
  <c r="F26" i="29" s="1"/>
  <c r="AE26" i="29" s="1"/>
  <c r="AG26" i="29" s="1"/>
  <c r="AB25" i="29"/>
  <c r="X25" i="29" s="1"/>
  <c r="F25" i="29" s="1"/>
  <c r="AE25" i="29" s="1"/>
  <c r="K25" i="29"/>
  <c r="G25" i="29"/>
  <c r="AB24" i="29"/>
  <c r="X24" i="29"/>
  <c r="K24" i="29"/>
  <c r="G24" i="29" s="1"/>
  <c r="F24" i="29" s="1"/>
  <c r="AE24" i="29" s="1"/>
  <c r="AD23" i="29"/>
  <c r="AB23" i="29"/>
  <c r="X23" i="29"/>
  <c r="K23" i="29"/>
  <c r="G23" i="29" s="1"/>
  <c r="F23" i="29" s="1"/>
  <c r="AE23" i="29" s="1"/>
  <c r="AB22" i="29"/>
  <c r="X22" i="29" s="1"/>
  <c r="F22" i="29" s="1"/>
  <c r="AE22" i="29" s="1"/>
  <c r="K22" i="29"/>
  <c r="G22" i="29"/>
  <c r="AB21" i="29"/>
  <c r="X21" i="29"/>
  <c r="K21" i="29"/>
  <c r="G21" i="29" s="1"/>
  <c r="F21" i="29" s="1"/>
  <c r="AE21" i="29" s="1"/>
  <c r="AD20" i="29"/>
  <c r="AB20" i="29"/>
  <c r="X20" i="29"/>
  <c r="K20" i="29"/>
  <c r="G20" i="29" s="1"/>
  <c r="F20" i="29" s="1"/>
  <c r="AE20" i="29" s="1"/>
  <c r="AG20" i="29" s="1"/>
  <c r="AB19" i="29"/>
  <c r="X19" i="29" s="1"/>
  <c r="F19" i="29" s="1"/>
  <c r="AE19" i="29" s="1"/>
  <c r="K19" i="29"/>
  <c r="G19" i="29"/>
  <c r="AD18" i="29"/>
  <c r="AB18" i="29"/>
  <c r="X18" i="29"/>
  <c r="F18" i="29" s="1"/>
  <c r="AE18" i="29" s="1"/>
  <c r="K18" i="29"/>
  <c r="G18" i="29"/>
  <c r="AD17" i="29"/>
  <c r="AB17" i="29"/>
  <c r="X17" i="29"/>
  <c r="F17" i="29" s="1"/>
  <c r="AE17" i="29" s="1"/>
  <c r="K17" i="29"/>
  <c r="G17" i="29"/>
  <c r="AB16" i="29"/>
  <c r="X16" i="29"/>
  <c r="K16" i="29"/>
  <c r="G16" i="29"/>
  <c r="F16" i="29" s="1"/>
  <c r="AE16" i="29" s="1"/>
  <c r="AD15" i="29"/>
  <c r="AB15" i="29"/>
  <c r="X15" i="29" s="1"/>
  <c r="F15" i="29" s="1"/>
  <c r="AE15" i="29" s="1"/>
  <c r="K15" i="29"/>
  <c r="G15" i="29"/>
  <c r="AD14" i="29"/>
  <c r="AB14" i="29"/>
  <c r="X14" i="29" s="1"/>
  <c r="F14" i="29" s="1"/>
  <c r="AE14" i="29" s="1"/>
  <c r="K14" i="29"/>
  <c r="G14" i="29"/>
  <c r="AB13" i="29"/>
  <c r="X13" i="29"/>
  <c r="K13" i="29"/>
  <c r="G13" i="29" s="1"/>
  <c r="F13" i="29" s="1"/>
  <c r="AE13" i="29" s="1"/>
  <c r="AD12" i="29"/>
  <c r="AB12" i="29"/>
  <c r="X12" i="29"/>
  <c r="K12" i="29"/>
  <c r="G12" i="29"/>
  <c r="F12" i="29" s="1"/>
  <c r="AE12" i="29" s="1"/>
  <c r="AD11" i="29"/>
  <c r="AB11" i="29"/>
  <c r="X11" i="29"/>
  <c r="K11" i="29"/>
  <c r="G11" i="29"/>
  <c r="F11" i="29" s="1"/>
  <c r="AE11" i="29" s="1"/>
  <c r="AB43" i="27"/>
  <c r="X43" i="27"/>
  <c r="K43" i="27"/>
  <c r="G43" i="27" s="1"/>
  <c r="F43" i="27" s="1"/>
  <c r="AE43" i="27" s="1"/>
  <c r="AB42" i="27"/>
  <c r="X42" i="27" s="1"/>
  <c r="F42" i="27" s="1"/>
  <c r="AE42" i="27" s="1"/>
  <c r="K42" i="27"/>
  <c r="G42" i="27"/>
  <c r="AB41" i="27"/>
  <c r="X41" i="27"/>
  <c r="K41" i="27"/>
  <c r="G41" i="27" s="1"/>
  <c r="F41" i="27" s="1"/>
  <c r="AE41" i="27" s="1"/>
  <c r="AD40" i="27"/>
  <c r="AB40" i="27"/>
  <c r="X40" i="27"/>
  <c r="K40" i="27"/>
  <c r="G40" i="27" s="1"/>
  <c r="F40" i="27" s="1"/>
  <c r="AE40" i="27" s="1"/>
  <c r="AB39" i="27"/>
  <c r="X39" i="27"/>
  <c r="S39" i="27"/>
  <c r="K39" i="27"/>
  <c r="G39" i="27" s="1"/>
  <c r="F39" i="27" s="1"/>
  <c r="AE39" i="27" s="1"/>
  <c r="AG39" i="27" s="1"/>
  <c r="AD38" i="27"/>
  <c r="AB38" i="27"/>
  <c r="X38" i="27"/>
  <c r="K38" i="27"/>
  <c r="G38" i="27" s="1"/>
  <c r="F38" i="27" s="1"/>
  <c r="AE38" i="27" s="1"/>
  <c r="AG38" i="27" s="1"/>
  <c r="AB37" i="27"/>
  <c r="X37" i="27" s="1"/>
  <c r="F37" i="27" s="1"/>
  <c r="AE37" i="27" s="1"/>
  <c r="K37" i="27"/>
  <c r="G37" i="27"/>
  <c r="AD36" i="27"/>
  <c r="AB36" i="27"/>
  <c r="X36" i="27" s="1"/>
  <c r="F36" i="27" s="1"/>
  <c r="AE36" i="27" s="1"/>
  <c r="AG36" i="27" s="1"/>
  <c r="K36" i="27"/>
  <c r="G36" i="27"/>
  <c r="AB35" i="27"/>
  <c r="X35" i="27"/>
  <c r="K35" i="27"/>
  <c r="G35" i="27" s="1"/>
  <c r="F35" i="27" s="1"/>
  <c r="AE35" i="27" s="1"/>
  <c r="AD34" i="27"/>
  <c r="AB34" i="27"/>
  <c r="X34" i="27"/>
  <c r="K34" i="27"/>
  <c r="G34" i="27" s="1"/>
  <c r="F34" i="27" s="1"/>
  <c r="AE34" i="27" s="1"/>
  <c r="AG34" i="27" s="1"/>
  <c r="AB33" i="27"/>
  <c r="X33" i="27" s="1"/>
  <c r="T33" i="27"/>
  <c r="K33" i="27"/>
  <c r="G33" i="27"/>
  <c r="AB32" i="27"/>
  <c r="X32" i="27" s="1"/>
  <c r="F32" i="27" s="1"/>
  <c r="AE32" i="27" s="1"/>
  <c r="K32" i="27"/>
  <c r="G32" i="27"/>
  <c r="AB31" i="27"/>
  <c r="X31" i="27"/>
  <c r="K31" i="27"/>
  <c r="G31" i="27" s="1"/>
  <c r="F31" i="27" s="1"/>
  <c r="AE31" i="27" s="1"/>
  <c r="AD30" i="27"/>
  <c r="AB30" i="27"/>
  <c r="X30" i="27"/>
  <c r="K30" i="27"/>
  <c r="G30" i="27"/>
  <c r="F30" i="27" s="1"/>
  <c r="AE30" i="27" s="1"/>
  <c r="AD29" i="27"/>
  <c r="AB29" i="27"/>
  <c r="X29" i="27"/>
  <c r="K29" i="27"/>
  <c r="G29" i="27"/>
  <c r="F29" i="27" s="1"/>
  <c r="AE29" i="27" s="1"/>
  <c r="AG29" i="27" s="1"/>
  <c r="AB28" i="27"/>
  <c r="X28" i="27"/>
  <c r="F28" i="27" s="1"/>
  <c r="AE28" i="27" s="1"/>
  <c r="K28" i="27"/>
  <c r="G28" i="27"/>
  <c r="X27" i="27"/>
  <c r="K27" i="27"/>
  <c r="G27" i="27"/>
  <c r="F27" i="27"/>
  <c r="AE27" i="27" s="1"/>
  <c r="AD26" i="27"/>
  <c r="AB26" i="27"/>
  <c r="X26" i="27" s="1"/>
  <c r="F26" i="27" s="1"/>
  <c r="AE26" i="27" s="1"/>
  <c r="K26" i="27"/>
  <c r="G26" i="27"/>
  <c r="AB25" i="27"/>
  <c r="X25" i="27"/>
  <c r="K25" i="27"/>
  <c r="G25" i="27" s="1"/>
  <c r="F25" i="27" s="1"/>
  <c r="AE25" i="27" s="1"/>
  <c r="AB24" i="27"/>
  <c r="X24" i="27" s="1"/>
  <c r="K24" i="27"/>
  <c r="G24" i="27"/>
  <c r="F24" i="27"/>
  <c r="AE24" i="27" s="1"/>
  <c r="AD23" i="27"/>
  <c r="AB23" i="27"/>
  <c r="X23" i="27" s="1"/>
  <c r="F23" i="27" s="1"/>
  <c r="AE23" i="27" s="1"/>
  <c r="AG23" i="27" s="1"/>
  <c r="K23" i="27"/>
  <c r="G23" i="27"/>
  <c r="AB22" i="27"/>
  <c r="X22" i="27"/>
  <c r="K22" i="27"/>
  <c r="G22" i="27" s="1"/>
  <c r="F22" i="27" s="1"/>
  <c r="AE22" i="27" s="1"/>
  <c r="AB21" i="27"/>
  <c r="X21" i="27" s="1"/>
  <c r="K21" i="27"/>
  <c r="G21" i="27"/>
  <c r="F21" i="27"/>
  <c r="AE21" i="27" s="1"/>
  <c r="AD20" i="27"/>
  <c r="AB20" i="27"/>
  <c r="X20" i="27" s="1"/>
  <c r="F20" i="27" s="1"/>
  <c r="AE20" i="27" s="1"/>
  <c r="AG20" i="27" s="1"/>
  <c r="K20" i="27"/>
  <c r="G20" i="27"/>
  <c r="AB19" i="27"/>
  <c r="X19" i="27"/>
  <c r="K19" i="27"/>
  <c r="G19" i="27" s="1"/>
  <c r="F19" i="27" s="1"/>
  <c r="AE19" i="27" s="1"/>
  <c r="AB18" i="27"/>
  <c r="X18" i="27" s="1"/>
  <c r="K18" i="27"/>
  <c r="G18" i="27"/>
  <c r="F18" i="27"/>
  <c r="AE18" i="27" s="1"/>
  <c r="AD17" i="27"/>
  <c r="AB17" i="27"/>
  <c r="X17" i="27" s="1"/>
  <c r="F17" i="27" s="1"/>
  <c r="AE17" i="27" s="1"/>
  <c r="AG17" i="27" s="1"/>
  <c r="K17" i="27"/>
  <c r="G17" i="27"/>
  <c r="AB16" i="27"/>
  <c r="X16" i="27"/>
  <c r="K16" i="27"/>
  <c r="G16" i="27" s="1"/>
  <c r="F16" i="27" s="1"/>
  <c r="AE16" i="27" s="1"/>
  <c r="AD15" i="27"/>
  <c r="AB15" i="27"/>
  <c r="X15" i="27"/>
  <c r="K15" i="27"/>
  <c r="G15" i="27"/>
  <c r="F15" i="27" s="1"/>
  <c r="AE15" i="27" s="1"/>
  <c r="AD14" i="27"/>
  <c r="AB14" i="27"/>
  <c r="X14" i="27"/>
  <c r="K14" i="27"/>
  <c r="G14" i="27"/>
  <c r="F14" i="27" s="1"/>
  <c r="AE14" i="27" s="1"/>
  <c r="AB13" i="27"/>
  <c r="X13" i="27"/>
  <c r="F13" i="27" s="1"/>
  <c r="AE13" i="27" s="1"/>
  <c r="K13" i="27"/>
  <c r="G13" i="27"/>
  <c r="AB12" i="27"/>
  <c r="X12" i="27"/>
  <c r="K12" i="27"/>
  <c r="G12" i="27"/>
  <c r="F12" i="27" s="1"/>
  <c r="AE12" i="27" s="1"/>
  <c r="AD11" i="27"/>
  <c r="AB11" i="27"/>
  <c r="X11" i="27"/>
  <c r="K11" i="27"/>
  <c r="G11" i="27"/>
  <c r="F11" i="27" s="1"/>
  <c r="AE11" i="27" s="1"/>
  <c r="AD30" i="28"/>
  <c r="AD30" i="26"/>
  <c r="F33" i="29" l="1"/>
  <c r="AE33" i="29" s="1"/>
  <c r="AG32" i="29" s="1"/>
  <c r="AG14" i="29"/>
  <c r="AG17" i="29"/>
  <c r="AG11" i="29"/>
  <c r="AG23" i="29"/>
  <c r="AG40" i="29"/>
  <c r="AG26" i="27"/>
  <c r="AG40" i="27"/>
  <c r="AG11" i="27"/>
  <c r="AG14" i="27"/>
  <c r="F33" i="27"/>
  <c r="AE33" i="27" s="1"/>
  <c r="AG32" i="27" s="1"/>
  <c r="AD29" i="28"/>
  <c r="AD29" i="26"/>
  <c r="E21" i="29" l="1"/>
  <c r="E20" i="29"/>
  <c r="E21" i="27"/>
  <c r="E20" i="27"/>
  <c r="AI40" i="29" l="1"/>
  <c r="AI39" i="29"/>
  <c r="AI38" i="29"/>
  <c r="AI36" i="29"/>
  <c r="AI34" i="29"/>
  <c r="AI32" i="29"/>
  <c r="AI29" i="29"/>
  <c r="AI26" i="29"/>
  <c r="AI23" i="29"/>
  <c r="AI17" i="29"/>
  <c r="AL17" i="29" s="1"/>
  <c r="AI14" i="29"/>
  <c r="AI11" i="29"/>
  <c r="AG46" i="22"/>
  <c r="AG44" i="22"/>
  <c r="AG44" i="23"/>
  <c r="AK40" i="27"/>
  <c r="AK39" i="27"/>
  <c r="AK38" i="27"/>
  <c r="AK36" i="27"/>
  <c r="AK34" i="27"/>
  <c r="AK32" i="27"/>
  <c r="AK26" i="27"/>
  <c r="AK23" i="27"/>
  <c r="AK14" i="27"/>
  <c r="AK11" i="27"/>
  <c r="AF44" i="27" l="1"/>
  <c r="AK29" i="27"/>
  <c r="AD20" i="28"/>
  <c r="AD12" i="28"/>
  <c r="M49" i="28"/>
  <c r="H49" i="28"/>
  <c r="I49" i="28"/>
  <c r="J49" i="28"/>
  <c r="L49" i="28"/>
  <c r="N49" i="28"/>
  <c r="O49" i="28"/>
  <c r="P49" i="28"/>
  <c r="Q49" i="28"/>
  <c r="R49" i="28"/>
  <c r="S49" i="28"/>
  <c r="T49" i="28"/>
  <c r="U49" i="28"/>
  <c r="V49" i="28"/>
  <c r="W49" i="28"/>
  <c r="Y49" i="28"/>
  <c r="Z49" i="28"/>
  <c r="AA49" i="28"/>
  <c r="AC49" i="28"/>
  <c r="AD49" i="28"/>
  <c r="AF49" i="28"/>
  <c r="AG49" i="28"/>
  <c r="H48" i="28"/>
  <c r="I48" i="28"/>
  <c r="J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Y48" i="28"/>
  <c r="Z48" i="28"/>
  <c r="AA48" i="28"/>
  <c r="AC48" i="28"/>
  <c r="AD48" i="28"/>
  <c r="AF48" i="28"/>
  <c r="BA29" i="26"/>
  <c r="AT12" i="26"/>
  <c r="AU12" i="26"/>
  <c r="AV12" i="26"/>
  <c r="AX12" i="26"/>
  <c r="AY12" i="26"/>
  <c r="AZ12" i="26"/>
  <c r="BA12" i="26"/>
  <c r="BB12" i="26"/>
  <c r="BC12" i="26"/>
  <c r="BD12" i="26"/>
  <c r="BE12" i="26"/>
  <c r="BF12" i="26"/>
  <c r="BG12" i="26"/>
  <c r="BH12" i="26"/>
  <c r="BI12" i="26"/>
  <c r="BK12" i="26"/>
  <c r="BL12" i="26"/>
  <c r="BM12" i="26"/>
  <c r="BO12" i="26"/>
  <c r="BP12" i="26"/>
  <c r="AT13" i="26"/>
  <c r="AU13" i="26"/>
  <c r="AV13" i="26"/>
  <c r="AX13" i="26"/>
  <c r="AY13" i="26"/>
  <c r="AZ13" i="26"/>
  <c r="BA13" i="26"/>
  <c r="BB13" i="26"/>
  <c r="BC13" i="26"/>
  <c r="BD13" i="26"/>
  <c r="BE13" i="26"/>
  <c r="BF13" i="26"/>
  <c r="BG13" i="26"/>
  <c r="BH13" i="26"/>
  <c r="BI13" i="26"/>
  <c r="BK13" i="26"/>
  <c r="BL13" i="26"/>
  <c r="BM13" i="26"/>
  <c r="BO13" i="26"/>
  <c r="BP13" i="26"/>
  <c r="AT14" i="26"/>
  <c r="AU14" i="26"/>
  <c r="AV14" i="26"/>
  <c r="AX14" i="26"/>
  <c r="AY14" i="26"/>
  <c r="AZ14" i="26"/>
  <c r="BA14" i="26"/>
  <c r="BB14" i="26"/>
  <c r="BC14" i="26"/>
  <c r="BD14" i="26"/>
  <c r="BE14" i="26"/>
  <c r="BF14" i="26"/>
  <c r="BG14" i="26"/>
  <c r="BH14" i="26"/>
  <c r="BI14" i="26"/>
  <c r="BK14" i="26"/>
  <c r="BL14" i="26"/>
  <c r="BM14" i="26"/>
  <c r="BO14" i="26"/>
  <c r="AT15" i="26"/>
  <c r="AU15" i="26"/>
  <c r="AV15" i="26"/>
  <c r="AX15" i="26"/>
  <c r="AY15" i="26"/>
  <c r="AZ15" i="26"/>
  <c r="BA15" i="26"/>
  <c r="BB15" i="26"/>
  <c r="BC15" i="26"/>
  <c r="BD15" i="26"/>
  <c r="BE15" i="26"/>
  <c r="BF15" i="26"/>
  <c r="BG15" i="26"/>
  <c r="BH15" i="26"/>
  <c r="BI15" i="26"/>
  <c r="BK15" i="26"/>
  <c r="BL15" i="26"/>
  <c r="BM15" i="26"/>
  <c r="BO15" i="26"/>
  <c r="AT16" i="26"/>
  <c r="AU16" i="26"/>
  <c r="AV16" i="26"/>
  <c r="AX16" i="26"/>
  <c r="AY16" i="26"/>
  <c r="AZ16" i="26"/>
  <c r="BA16" i="26"/>
  <c r="BB16" i="26"/>
  <c r="BC16" i="26"/>
  <c r="BD16" i="26"/>
  <c r="BE16" i="26"/>
  <c r="BF16" i="26"/>
  <c r="BG16" i="26"/>
  <c r="BH16" i="26"/>
  <c r="BI16" i="26"/>
  <c r="BK16" i="26"/>
  <c r="BL16" i="26"/>
  <c r="BM16" i="26"/>
  <c r="BO16" i="26"/>
  <c r="BP16" i="26"/>
  <c r="AT17" i="26"/>
  <c r="AU17" i="26"/>
  <c r="AV17" i="26"/>
  <c r="AX17" i="26"/>
  <c r="AY17" i="26"/>
  <c r="AZ17" i="26"/>
  <c r="BA17" i="26"/>
  <c r="BB17" i="26"/>
  <c r="BC17" i="26"/>
  <c r="BD17" i="26"/>
  <c r="BE17" i="26"/>
  <c r="BF17" i="26"/>
  <c r="BG17" i="26"/>
  <c r="BH17" i="26"/>
  <c r="BI17" i="26"/>
  <c r="BK17" i="26"/>
  <c r="BL17" i="26"/>
  <c r="BM17" i="26"/>
  <c r="BO17" i="26"/>
  <c r="AT18" i="26"/>
  <c r="AU18" i="26"/>
  <c r="AV18" i="26"/>
  <c r="AX18" i="26"/>
  <c r="AY18" i="26"/>
  <c r="AZ18" i="26"/>
  <c r="BA18" i="26"/>
  <c r="BB18" i="26"/>
  <c r="BC18" i="26"/>
  <c r="BD18" i="26"/>
  <c r="BE18" i="26"/>
  <c r="BF18" i="26"/>
  <c r="BG18" i="26"/>
  <c r="BH18" i="26"/>
  <c r="BI18" i="26"/>
  <c r="BK18" i="26"/>
  <c r="BL18" i="26"/>
  <c r="BM18" i="26"/>
  <c r="BO18" i="26"/>
  <c r="BP18" i="26"/>
  <c r="AT19" i="26"/>
  <c r="AU19" i="26"/>
  <c r="AV19" i="26"/>
  <c r="AX19" i="26"/>
  <c r="AY19" i="26"/>
  <c r="AZ19" i="26"/>
  <c r="BA19" i="26"/>
  <c r="BB19" i="26"/>
  <c r="BC19" i="26"/>
  <c r="BD19" i="26"/>
  <c r="BE19" i="26"/>
  <c r="BF19" i="26"/>
  <c r="BG19" i="26"/>
  <c r="BH19" i="26"/>
  <c r="BI19" i="26"/>
  <c r="BK19" i="26"/>
  <c r="BL19" i="26"/>
  <c r="BM19" i="26"/>
  <c r="BO19" i="26"/>
  <c r="BP19" i="26"/>
  <c r="AT20" i="26"/>
  <c r="AU20" i="26"/>
  <c r="AV20" i="26"/>
  <c r="AX20" i="26"/>
  <c r="AY20" i="26"/>
  <c r="AZ20" i="26"/>
  <c r="BA20" i="26"/>
  <c r="BB20" i="26"/>
  <c r="BC20" i="26"/>
  <c r="BD20" i="26"/>
  <c r="BE20" i="26"/>
  <c r="BF20" i="26"/>
  <c r="BG20" i="26"/>
  <c r="BH20" i="26"/>
  <c r="BI20" i="26"/>
  <c r="BK20" i="26"/>
  <c r="BL20" i="26"/>
  <c r="BM20" i="26"/>
  <c r="BO20" i="26"/>
  <c r="AT21" i="26"/>
  <c r="AU21" i="26"/>
  <c r="AV21" i="26"/>
  <c r="AX21" i="26"/>
  <c r="AY21" i="26"/>
  <c r="AZ21" i="26"/>
  <c r="BA21" i="26"/>
  <c r="BB21" i="26"/>
  <c r="BC21" i="26"/>
  <c r="BD21" i="26"/>
  <c r="BE21" i="26"/>
  <c r="BF21" i="26"/>
  <c r="BG21" i="26"/>
  <c r="BH21" i="26"/>
  <c r="BI21" i="26"/>
  <c r="BK21" i="26"/>
  <c r="BL21" i="26"/>
  <c r="BM21" i="26"/>
  <c r="BO21" i="26"/>
  <c r="BP21" i="26"/>
  <c r="AT22" i="26"/>
  <c r="AU22" i="26"/>
  <c r="AV22" i="26"/>
  <c r="AX22" i="26"/>
  <c r="AY22" i="26"/>
  <c r="AZ22" i="26"/>
  <c r="BA22" i="26"/>
  <c r="BB22" i="26"/>
  <c r="BC22" i="26"/>
  <c r="BD22" i="26"/>
  <c r="BE22" i="26"/>
  <c r="BF22" i="26"/>
  <c r="BG22" i="26"/>
  <c r="BH22" i="26"/>
  <c r="BI22" i="26"/>
  <c r="BK22" i="26"/>
  <c r="BL22" i="26"/>
  <c r="BM22" i="26"/>
  <c r="BO22" i="26"/>
  <c r="BP22" i="26"/>
  <c r="AT23" i="26"/>
  <c r="AU23" i="26"/>
  <c r="AV23" i="26"/>
  <c r="AX23" i="26"/>
  <c r="AY23" i="26"/>
  <c r="AZ23" i="26"/>
  <c r="BA23" i="26"/>
  <c r="BB23" i="26"/>
  <c r="BC23" i="26"/>
  <c r="BD23" i="26"/>
  <c r="BE23" i="26"/>
  <c r="BF23" i="26"/>
  <c r="BG23" i="26"/>
  <c r="BH23" i="26"/>
  <c r="BI23" i="26"/>
  <c r="BK23" i="26"/>
  <c r="BL23" i="26"/>
  <c r="BM23" i="26"/>
  <c r="BO23" i="26"/>
  <c r="AT24" i="26"/>
  <c r="AU24" i="26"/>
  <c r="AV24" i="26"/>
  <c r="AX24" i="26"/>
  <c r="AY24" i="26"/>
  <c r="AZ24" i="26"/>
  <c r="BA24" i="26"/>
  <c r="BB24" i="26"/>
  <c r="BC24" i="26"/>
  <c r="BD24" i="26"/>
  <c r="BE24" i="26"/>
  <c r="BF24" i="26"/>
  <c r="BG24" i="26"/>
  <c r="BH24" i="26"/>
  <c r="BI24" i="26"/>
  <c r="BK24" i="26"/>
  <c r="BL24" i="26"/>
  <c r="BM24" i="26"/>
  <c r="BO24" i="26"/>
  <c r="BP24" i="26"/>
  <c r="AT25" i="26"/>
  <c r="AU25" i="26"/>
  <c r="AV25" i="26"/>
  <c r="AX25" i="26"/>
  <c r="AY25" i="26"/>
  <c r="AZ25" i="26"/>
  <c r="BA25" i="26"/>
  <c r="BB25" i="26"/>
  <c r="BC25" i="26"/>
  <c r="BD25" i="26"/>
  <c r="BE25" i="26"/>
  <c r="BF25" i="26"/>
  <c r="BG25" i="26"/>
  <c r="BH25" i="26"/>
  <c r="BI25" i="26"/>
  <c r="BK25" i="26"/>
  <c r="BL25" i="26"/>
  <c r="BM25" i="26"/>
  <c r="BO25" i="26"/>
  <c r="BP25" i="26"/>
  <c r="AT26" i="26"/>
  <c r="AU26" i="26"/>
  <c r="AV26" i="26"/>
  <c r="AX26" i="26"/>
  <c r="AY26" i="26"/>
  <c r="AZ26" i="26"/>
  <c r="BA26" i="26"/>
  <c r="BB26" i="26"/>
  <c r="BC26" i="26"/>
  <c r="BD26" i="26"/>
  <c r="BE26" i="26"/>
  <c r="BF26" i="26"/>
  <c r="BG26" i="26"/>
  <c r="BH26" i="26"/>
  <c r="BI26" i="26"/>
  <c r="BK26" i="26"/>
  <c r="BL26" i="26"/>
  <c r="BM26" i="26"/>
  <c r="BO26" i="26"/>
  <c r="AT27" i="26"/>
  <c r="AU27" i="26"/>
  <c r="AV27" i="26"/>
  <c r="AX27" i="26"/>
  <c r="AY27" i="26"/>
  <c r="AZ27" i="26"/>
  <c r="BA27" i="26"/>
  <c r="BB27" i="26"/>
  <c r="BC27" i="26"/>
  <c r="BD27" i="26"/>
  <c r="BE27" i="26"/>
  <c r="BF27" i="26"/>
  <c r="BG27" i="26"/>
  <c r="BH27" i="26"/>
  <c r="BI27" i="26"/>
  <c r="BK27" i="26"/>
  <c r="BL27" i="26"/>
  <c r="BM27" i="26"/>
  <c r="BN27" i="26"/>
  <c r="BO27" i="26"/>
  <c r="BP27" i="26"/>
  <c r="AT28" i="26"/>
  <c r="AU28" i="26"/>
  <c r="AV28" i="26"/>
  <c r="AX28" i="26"/>
  <c r="AY28" i="26"/>
  <c r="AZ28" i="26"/>
  <c r="BA28" i="26"/>
  <c r="BB28" i="26"/>
  <c r="BC28" i="26"/>
  <c r="BD28" i="26"/>
  <c r="BE28" i="26"/>
  <c r="BF28" i="26"/>
  <c r="BG28" i="26"/>
  <c r="BH28" i="26"/>
  <c r="BI28" i="26"/>
  <c r="BK28" i="26"/>
  <c r="BL28" i="26"/>
  <c r="BM28" i="26"/>
  <c r="BO28" i="26"/>
  <c r="BP28" i="26"/>
  <c r="AT29" i="26"/>
  <c r="AU29" i="26"/>
  <c r="AV29" i="26"/>
  <c r="AX29" i="26"/>
  <c r="AY29" i="26"/>
  <c r="AZ29" i="26"/>
  <c r="BB29" i="26"/>
  <c r="BC29" i="26"/>
  <c r="BD29" i="26"/>
  <c r="BE29" i="26"/>
  <c r="BF29" i="26"/>
  <c r="BG29" i="26"/>
  <c r="BH29" i="26"/>
  <c r="BI29" i="26"/>
  <c r="BK29" i="26"/>
  <c r="BL29" i="26"/>
  <c r="BM29" i="26"/>
  <c r="BO29" i="26"/>
  <c r="AT30" i="26"/>
  <c r="AU30" i="26"/>
  <c r="AV30" i="26"/>
  <c r="AX30" i="26"/>
  <c r="AY30" i="26"/>
  <c r="AZ30" i="26"/>
  <c r="BA30" i="26"/>
  <c r="BB30" i="26"/>
  <c r="BC30" i="26"/>
  <c r="BD30" i="26"/>
  <c r="BE30" i="26"/>
  <c r="BF30" i="26"/>
  <c r="BG30" i="26"/>
  <c r="BH30" i="26"/>
  <c r="BI30" i="26"/>
  <c r="BK30" i="26"/>
  <c r="BL30" i="26"/>
  <c r="BM30" i="26"/>
  <c r="BO30" i="26"/>
  <c r="BP30" i="26"/>
  <c r="AT31" i="26"/>
  <c r="AU31" i="26"/>
  <c r="AV31" i="26"/>
  <c r="AX31" i="26"/>
  <c r="AY31" i="26"/>
  <c r="AZ31" i="26"/>
  <c r="BA31" i="26"/>
  <c r="BB31" i="26"/>
  <c r="BC31" i="26"/>
  <c r="BD31" i="26"/>
  <c r="BE31" i="26"/>
  <c r="BF31" i="26"/>
  <c r="BG31" i="26"/>
  <c r="BH31" i="26"/>
  <c r="BI31" i="26"/>
  <c r="BK31" i="26"/>
  <c r="BL31" i="26"/>
  <c r="BM31" i="26"/>
  <c r="BO31" i="26"/>
  <c r="BP31" i="26"/>
  <c r="AT32" i="26"/>
  <c r="AU32" i="26"/>
  <c r="AV32" i="26"/>
  <c r="AX32" i="26"/>
  <c r="AY32" i="26"/>
  <c r="AZ32" i="26"/>
  <c r="BA32" i="26"/>
  <c r="BB32" i="26"/>
  <c r="BC32" i="26"/>
  <c r="BD32" i="26"/>
  <c r="BE32" i="26"/>
  <c r="BF32" i="26"/>
  <c r="BG32" i="26"/>
  <c r="BH32" i="26"/>
  <c r="BI32" i="26"/>
  <c r="BK32" i="26"/>
  <c r="BL32" i="26"/>
  <c r="BM32" i="26"/>
  <c r="BO32" i="26"/>
  <c r="BP32" i="26"/>
  <c r="AT33" i="26"/>
  <c r="AU33" i="26"/>
  <c r="AV33" i="26"/>
  <c r="AX33" i="26"/>
  <c r="AY33" i="26"/>
  <c r="AZ33" i="26"/>
  <c r="BA33" i="26"/>
  <c r="BB33" i="26"/>
  <c r="BC33" i="26"/>
  <c r="BD33" i="26"/>
  <c r="BE33" i="26"/>
  <c r="BG33" i="26"/>
  <c r="BH33" i="26"/>
  <c r="BI33" i="26"/>
  <c r="BK33" i="26"/>
  <c r="BL33" i="26"/>
  <c r="BM33" i="26"/>
  <c r="BO33" i="26"/>
  <c r="BP33" i="26"/>
  <c r="AT34" i="26"/>
  <c r="AU34" i="26"/>
  <c r="AV34" i="26"/>
  <c r="AX34" i="26"/>
  <c r="AY34" i="26"/>
  <c r="AZ34" i="26"/>
  <c r="BA34" i="26"/>
  <c r="BB34" i="26"/>
  <c r="BC34" i="26"/>
  <c r="BD34" i="26"/>
  <c r="BE34" i="26"/>
  <c r="BF34" i="26"/>
  <c r="BG34" i="26"/>
  <c r="BH34" i="26"/>
  <c r="BI34" i="26"/>
  <c r="BK34" i="26"/>
  <c r="BL34" i="26"/>
  <c r="BM34" i="26"/>
  <c r="BO34" i="26"/>
  <c r="AT35" i="26"/>
  <c r="AU35" i="26"/>
  <c r="AV35" i="26"/>
  <c r="AX35" i="26"/>
  <c r="AY35" i="26"/>
  <c r="AZ35" i="26"/>
  <c r="BA35" i="26"/>
  <c r="BB35" i="26"/>
  <c r="BC35" i="26"/>
  <c r="BD35" i="26"/>
  <c r="BE35" i="26"/>
  <c r="BF35" i="26"/>
  <c r="BG35" i="26"/>
  <c r="BH35" i="26"/>
  <c r="BI35" i="26"/>
  <c r="BK35" i="26"/>
  <c r="BL35" i="26"/>
  <c r="BM35" i="26"/>
  <c r="BO35" i="26"/>
  <c r="BP35" i="26"/>
  <c r="AT36" i="26"/>
  <c r="AU36" i="26"/>
  <c r="AV36" i="26"/>
  <c r="AX36" i="26"/>
  <c r="AY36" i="26"/>
  <c r="AZ36" i="26"/>
  <c r="BA36" i="26"/>
  <c r="BB36" i="26"/>
  <c r="BC36" i="26"/>
  <c r="BD36" i="26"/>
  <c r="BE36" i="26"/>
  <c r="BF36" i="26"/>
  <c r="BG36" i="26"/>
  <c r="BH36" i="26"/>
  <c r="BI36" i="26"/>
  <c r="BK36" i="26"/>
  <c r="BL36" i="26"/>
  <c r="BM36" i="26"/>
  <c r="BO36" i="26"/>
  <c r="AT37" i="26"/>
  <c r="AU37" i="26"/>
  <c r="AV37" i="26"/>
  <c r="AX37" i="26"/>
  <c r="AY37" i="26"/>
  <c r="AZ37" i="26"/>
  <c r="BA37" i="26"/>
  <c r="BB37" i="26"/>
  <c r="BC37" i="26"/>
  <c r="BD37" i="26"/>
  <c r="BE37" i="26"/>
  <c r="BF37" i="26"/>
  <c r="BG37" i="26"/>
  <c r="BH37" i="26"/>
  <c r="BI37" i="26"/>
  <c r="BK37" i="26"/>
  <c r="BL37" i="26"/>
  <c r="BM37" i="26"/>
  <c r="BO37" i="26"/>
  <c r="BP37" i="26"/>
  <c r="AT38" i="26"/>
  <c r="AU38" i="26"/>
  <c r="AV38" i="26"/>
  <c r="AX38" i="26"/>
  <c r="AY38" i="26"/>
  <c r="AZ38" i="26"/>
  <c r="BA38" i="26"/>
  <c r="BB38" i="26"/>
  <c r="BC38" i="26"/>
  <c r="BD38" i="26"/>
  <c r="BE38" i="26"/>
  <c r="BF38" i="26"/>
  <c r="BG38" i="26"/>
  <c r="BH38" i="26"/>
  <c r="BI38" i="26"/>
  <c r="BK38" i="26"/>
  <c r="BL38" i="26"/>
  <c r="BM38" i="26"/>
  <c r="BO38" i="26"/>
  <c r="BP38" i="26"/>
  <c r="AT39" i="26"/>
  <c r="AU39" i="26"/>
  <c r="AV39" i="26"/>
  <c r="AX39" i="26"/>
  <c r="AY39" i="26"/>
  <c r="AZ39" i="26"/>
  <c r="BA39" i="26"/>
  <c r="BB39" i="26"/>
  <c r="BC39" i="26"/>
  <c r="BD39" i="26"/>
  <c r="BE39" i="26"/>
  <c r="BF39" i="26"/>
  <c r="BG39" i="26"/>
  <c r="BH39" i="26"/>
  <c r="BI39" i="26"/>
  <c r="BK39" i="26"/>
  <c r="BL39" i="26"/>
  <c r="BM39" i="26"/>
  <c r="BO39" i="26"/>
  <c r="BP39" i="26"/>
  <c r="AT40" i="26"/>
  <c r="AU40" i="26"/>
  <c r="AV40" i="26"/>
  <c r="AX40" i="26"/>
  <c r="AY40" i="26"/>
  <c r="AZ40" i="26"/>
  <c r="BA40" i="26"/>
  <c r="BB40" i="26"/>
  <c r="BC40" i="26"/>
  <c r="BD40" i="26"/>
  <c r="BE40" i="26"/>
  <c r="BF40" i="26"/>
  <c r="BG40" i="26"/>
  <c r="BH40" i="26"/>
  <c r="BI40" i="26"/>
  <c r="BK40" i="26"/>
  <c r="BL40" i="26"/>
  <c r="BM40" i="26"/>
  <c r="BO40" i="26"/>
  <c r="AT41" i="26"/>
  <c r="AU41" i="26"/>
  <c r="AV41" i="26"/>
  <c r="AX41" i="26"/>
  <c r="AY41" i="26"/>
  <c r="AZ41" i="26"/>
  <c r="BA41" i="26"/>
  <c r="BB41" i="26"/>
  <c r="BC41" i="26"/>
  <c r="BD41" i="26"/>
  <c r="BE41" i="26"/>
  <c r="BF41" i="26"/>
  <c r="BG41" i="26"/>
  <c r="BH41" i="26"/>
  <c r="BI41" i="26"/>
  <c r="BK41" i="26"/>
  <c r="BL41" i="26"/>
  <c r="BM41" i="26"/>
  <c r="BO41" i="26"/>
  <c r="BP41" i="26"/>
  <c r="AT42" i="26"/>
  <c r="AU42" i="26"/>
  <c r="AV42" i="26"/>
  <c r="AX42" i="26"/>
  <c r="AY42" i="26"/>
  <c r="AZ42" i="26"/>
  <c r="BA42" i="26"/>
  <c r="BB42" i="26"/>
  <c r="BC42" i="26"/>
  <c r="BD42" i="26"/>
  <c r="BE42" i="26"/>
  <c r="BF42" i="26"/>
  <c r="BG42" i="26"/>
  <c r="BH42" i="26"/>
  <c r="BI42" i="26"/>
  <c r="BK42" i="26"/>
  <c r="BL42" i="26"/>
  <c r="BM42" i="26"/>
  <c r="BO42" i="26"/>
  <c r="BP42" i="26"/>
  <c r="AT43" i="26"/>
  <c r="AU43" i="26"/>
  <c r="AV43" i="26"/>
  <c r="AX43" i="26"/>
  <c r="AY43" i="26"/>
  <c r="AZ43" i="26"/>
  <c r="BA43" i="26"/>
  <c r="BB43" i="26"/>
  <c r="BC43" i="26"/>
  <c r="BD43" i="26"/>
  <c r="BE43" i="26"/>
  <c r="BF43" i="26"/>
  <c r="BG43" i="26"/>
  <c r="BH43" i="26"/>
  <c r="BI43" i="26"/>
  <c r="BK43" i="26"/>
  <c r="BL43" i="26"/>
  <c r="BM43" i="26"/>
  <c r="BO43" i="26"/>
  <c r="BP43" i="26"/>
  <c r="AT11" i="26"/>
  <c r="AU11" i="26"/>
  <c r="AV11" i="26"/>
  <c r="AX11" i="26"/>
  <c r="AY11" i="26"/>
  <c r="AZ11" i="26"/>
  <c r="BA11" i="26"/>
  <c r="BB11" i="26"/>
  <c r="BC11" i="26"/>
  <c r="BD11" i="26"/>
  <c r="BE11" i="26"/>
  <c r="BF11" i="26"/>
  <c r="BG11" i="26"/>
  <c r="BH11" i="26"/>
  <c r="BI11" i="26"/>
  <c r="BK11" i="26"/>
  <c r="BL11" i="26"/>
  <c r="BM11" i="26"/>
  <c r="BO11" i="26"/>
  <c r="BP11" i="26"/>
  <c r="AD11" i="28"/>
  <c r="AD40" i="28"/>
  <c r="S39" i="28"/>
  <c r="AD38" i="28"/>
  <c r="AD36" i="28"/>
  <c r="AD34" i="28"/>
  <c r="T33" i="28"/>
  <c r="AD27" i="28"/>
  <c r="AD26" i="28"/>
  <c r="AD23" i="28"/>
  <c r="AD18" i="28"/>
  <c r="AD17" i="28"/>
  <c r="AD15" i="28"/>
  <c r="AD14" i="28"/>
  <c r="AF44" i="28"/>
  <c r="AD40" i="26"/>
  <c r="BP40" i="26" s="1"/>
  <c r="S39" i="26"/>
  <c r="AD38" i="26"/>
  <c r="AD36" i="26"/>
  <c r="BP36" i="26" s="1"/>
  <c r="AD34" i="26"/>
  <c r="BP34" i="26" s="1"/>
  <c r="T33" i="26"/>
  <c r="BF33" i="26" s="1"/>
  <c r="BP29" i="26"/>
  <c r="AD26" i="26"/>
  <c r="BP26" i="26" s="1"/>
  <c r="AD23" i="26"/>
  <c r="BP23" i="26" s="1"/>
  <c r="AD20" i="26"/>
  <c r="BP20" i="26" s="1"/>
  <c r="AD17" i="26"/>
  <c r="BP17" i="26" s="1"/>
  <c r="AD15" i="26"/>
  <c r="BP15" i="26" s="1"/>
  <c r="AD14" i="26"/>
  <c r="BP14" i="26" s="1"/>
  <c r="AD11" i="26"/>
  <c r="AE44" i="27" l="1"/>
  <c r="AK17" i="27"/>
  <c r="AF44" i="26"/>
  <c r="AK20" i="27" l="1"/>
  <c r="AG44" i="27"/>
  <c r="AG47" i="27" s="1"/>
  <c r="K27" i="28" l="1"/>
  <c r="G27" i="28" s="1"/>
  <c r="AB27" i="28"/>
  <c r="X27" i="28" s="1"/>
  <c r="K27" i="26"/>
  <c r="X27" i="26"/>
  <c r="BJ27" i="26" s="1"/>
  <c r="F27" i="28" l="1"/>
  <c r="AR27" i="28" s="1"/>
  <c r="G27" i="26"/>
  <c r="AW27" i="26"/>
  <c r="AB28" i="28"/>
  <c r="X28" i="28"/>
  <c r="K28" i="28"/>
  <c r="G28" i="28" s="1"/>
  <c r="F28" i="28" s="1"/>
  <c r="AB26" i="28"/>
  <c r="X26" i="28"/>
  <c r="K26" i="28"/>
  <c r="G26" i="28" s="1"/>
  <c r="F26" i="28" s="1"/>
  <c r="AE26" i="28" l="1"/>
  <c r="AR26" i="28"/>
  <c r="AE28" i="28"/>
  <c r="AR28" i="28"/>
  <c r="F27" i="26"/>
  <c r="AR27" i="26" s="1"/>
  <c r="AS27" i="26"/>
  <c r="AE27" i="28"/>
  <c r="AB39" i="28"/>
  <c r="X39" i="28"/>
  <c r="K39" i="28"/>
  <c r="G39" i="28" s="1"/>
  <c r="F39" i="28" s="1"/>
  <c r="AR39" i="28" s="1"/>
  <c r="AP26" i="28"/>
  <c r="AP27" i="28"/>
  <c r="AP28" i="28"/>
  <c r="AP27" i="26"/>
  <c r="AE39" i="28" l="1"/>
  <c r="AG39" i="28" s="1"/>
  <c r="AL39" i="28" s="1"/>
  <c r="AP39" i="28"/>
  <c r="AG11" i="18"/>
  <c r="AB37" i="28"/>
  <c r="X37" i="28"/>
  <c r="K37" i="28"/>
  <c r="AB36" i="28"/>
  <c r="K36" i="28"/>
  <c r="G36" i="28"/>
  <c r="X36" i="28" l="1"/>
  <c r="G37" i="28"/>
  <c r="F36" i="28"/>
  <c r="AP36" i="28" l="1"/>
  <c r="AR36" i="28"/>
  <c r="AE36" i="28"/>
  <c r="F37" i="28"/>
  <c r="AR37" i="28" l="1"/>
  <c r="AP37" i="28"/>
  <c r="AE37" i="28"/>
  <c r="AG36" i="28" s="1"/>
  <c r="AL36" i="28" s="1"/>
  <c r="AB33" i="28"/>
  <c r="K33" i="28"/>
  <c r="AB32" i="28"/>
  <c r="X32" i="28" s="1"/>
  <c r="K32" i="28"/>
  <c r="G32" i="28" s="1"/>
  <c r="X33" i="28" l="1"/>
  <c r="G33" i="28"/>
  <c r="AI36" i="28"/>
  <c r="AJ36" i="28" s="1"/>
  <c r="F32" i="28"/>
  <c r="AB33" i="26"/>
  <c r="BN33" i="26" s="1"/>
  <c r="K33" i="26"/>
  <c r="AW33" i="26" s="1"/>
  <c r="AB32" i="26"/>
  <c r="BN32" i="26" s="1"/>
  <c r="K32" i="26"/>
  <c r="AR32" i="28" l="1"/>
  <c r="AP32" i="28"/>
  <c r="G32" i="26"/>
  <c r="AS32" i="26" s="1"/>
  <c r="AW32" i="26"/>
  <c r="F33" i="28"/>
  <c r="AR33" i="28" s="1"/>
  <c r="AE32" i="28"/>
  <c r="X33" i="26"/>
  <c r="BJ33" i="26" s="1"/>
  <c r="X32" i="26"/>
  <c r="BJ32" i="26" s="1"/>
  <c r="G33" i="26"/>
  <c r="AS33" i="26" s="1"/>
  <c r="F32" i="26" l="1"/>
  <c r="AE33" i="28"/>
  <c r="AP33" i="28"/>
  <c r="AG32" i="28"/>
  <c r="AL32" i="28" s="1"/>
  <c r="AE32" i="26"/>
  <c r="BQ32" i="26" s="1"/>
  <c r="F33" i="26"/>
  <c r="Q10" i="29"/>
  <c r="R10" i="29" s="1"/>
  <c r="S10" i="29" s="1"/>
  <c r="T10" i="29" s="1"/>
  <c r="U10" i="29" s="1"/>
  <c r="V10" i="29" s="1"/>
  <c r="W10" i="29" s="1"/>
  <c r="X10" i="29" s="1"/>
  <c r="Y10" i="29" s="1"/>
  <c r="Z10" i="29" s="1"/>
  <c r="AA10" i="29" s="1"/>
  <c r="AB10" i="29" s="1"/>
  <c r="AC10" i="29" s="1"/>
  <c r="AD10" i="29" s="1"/>
  <c r="AF10" i="29" s="1"/>
  <c r="AE10" i="29" s="1"/>
  <c r="P10" i="29"/>
  <c r="AB43" i="28"/>
  <c r="K43" i="28"/>
  <c r="AB42" i="28"/>
  <c r="K42" i="28"/>
  <c r="AB41" i="28"/>
  <c r="K41" i="28"/>
  <c r="AB40" i="28"/>
  <c r="K40" i="28"/>
  <c r="AB38" i="28"/>
  <c r="K38" i="28"/>
  <c r="AB35" i="28"/>
  <c r="K35" i="28"/>
  <c r="AB34" i="28"/>
  <c r="X34" i="28"/>
  <c r="K34" i="28"/>
  <c r="AB31" i="28"/>
  <c r="K31" i="28"/>
  <c r="AB30" i="28"/>
  <c r="K30" i="28"/>
  <c r="AB29" i="28"/>
  <c r="K29" i="28"/>
  <c r="AB25" i="28"/>
  <c r="K25" i="28"/>
  <c r="AB24" i="28"/>
  <c r="K24" i="28"/>
  <c r="G24" i="28" s="1"/>
  <c r="AB23" i="28"/>
  <c r="K23" i="28"/>
  <c r="G23" i="28"/>
  <c r="AB22" i="28"/>
  <c r="K22" i="28"/>
  <c r="AB21" i="28"/>
  <c r="AB49" i="28" s="1"/>
  <c r="K21" i="28"/>
  <c r="K49" i="28" s="1"/>
  <c r="AB20" i="28"/>
  <c r="AB48" i="28" s="1"/>
  <c r="K20" i="28"/>
  <c r="K48" i="28" s="1"/>
  <c r="AB19" i="28"/>
  <c r="K19" i="28"/>
  <c r="AB18" i="28"/>
  <c r="K18" i="28"/>
  <c r="AB17" i="28"/>
  <c r="K17" i="28"/>
  <c r="AB16" i="28"/>
  <c r="K16" i="28"/>
  <c r="AB15" i="28"/>
  <c r="K15" i="28"/>
  <c r="AB14" i="28"/>
  <c r="K14" i="28"/>
  <c r="AB13" i="28"/>
  <c r="K13" i="28"/>
  <c r="AB12" i="28"/>
  <c r="K12" i="28"/>
  <c r="AB11" i="28"/>
  <c r="K11" i="28"/>
  <c r="P10" i="28"/>
  <c r="Q10" i="28" s="1"/>
  <c r="R10" i="28" s="1"/>
  <c r="S10" i="28" s="1"/>
  <c r="T10" i="28" s="1"/>
  <c r="U10" i="28" s="1"/>
  <c r="V10" i="28" s="1"/>
  <c r="W10" i="28" s="1"/>
  <c r="X10" i="28" s="1"/>
  <c r="Y10" i="28" s="1"/>
  <c r="Z10" i="28" s="1"/>
  <c r="AA10" i="28" s="1"/>
  <c r="AB10" i="28" s="1"/>
  <c r="AC10" i="28" s="1"/>
  <c r="AD10" i="28" s="1"/>
  <c r="AF10" i="28" s="1"/>
  <c r="AE10" i="28" s="1"/>
  <c r="P10" i="27"/>
  <c r="Q10" i="27" s="1"/>
  <c r="R10" i="27" s="1"/>
  <c r="S10" i="27" s="1"/>
  <c r="T10" i="27" s="1"/>
  <c r="U10" i="27" s="1"/>
  <c r="V10" i="27" s="1"/>
  <c r="W10" i="27" s="1"/>
  <c r="X10" i="27" s="1"/>
  <c r="Y10" i="27" s="1"/>
  <c r="Z10" i="27" s="1"/>
  <c r="AA10" i="27" s="1"/>
  <c r="AB10" i="27" s="1"/>
  <c r="AC10" i="27" s="1"/>
  <c r="AD10" i="27" s="1"/>
  <c r="AF10" i="27" s="1"/>
  <c r="AE10" i="27" s="1"/>
  <c r="AB43" i="26"/>
  <c r="BN43" i="26" s="1"/>
  <c r="K43" i="26"/>
  <c r="AW43" i="26" s="1"/>
  <c r="AB42" i="26"/>
  <c r="BN42" i="26" s="1"/>
  <c r="K42" i="26"/>
  <c r="AW42" i="26" s="1"/>
  <c r="AB41" i="26"/>
  <c r="BN41" i="26" s="1"/>
  <c r="K41" i="26"/>
  <c r="AW41" i="26" s="1"/>
  <c r="AB40" i="26"/>
  <c r="BN40" i="26" s="1"/>
  <c r="K40" i="26"/>
  <c r="AW40" i="26" s="1"/>
  <c r="AB39" i="26"/>
  <c r="BN39" i="26" s="1"/>
  <c r="K39" i="26"/>
  <c r="AW39" i="26" s="1"/>
  <c r="AB38" i="26"/>
  <c r="BN38" i="26" s="1"/>
  <c r="K38" i="26"/>
  <c r="AW38" i="26" s="1"/>
  <c r="AB37" i="26"/>
  <c r="BN37" i="26" s="1"/>
  <c r="K37" i="26"/>
  <c r="AW37" i="26" s="1"/>
  <c r="AB36" i="26"/>
  <c r="BN36" i="26" s="1"/>
  <c r="K36" i="26"/>
  <c r="AW36" i="26" s="1"/>
  <c r="AB35" i="26"/>
  <c r="BN35" i="26" s="1"/>
  <c r="K35" i="26"/>
  <c r="AW35" i="26" s="1"/>
  <c r="AB34" i="26"/>
  <c r="BN34" i="26" s="1"/>
  <c r="K34" i="26"/>
  <c r="AW34" i="26" s="1"/>
  <c r="AB31" i="26"/>
  <c r="BN31" i="26" s="1"/>
  <c r="K31" i="26"/>
  <c r="AW31" i="26" s="1"/>
  <c r="AB30" i="26"/>
  <c r="BN30" i="26" s="1"/>
  <c r="K30" i="26"/>
  <c r="AW30" i="26" s="1"/>
  <c r="AB29" i="26"/>
  <c r="BN29" i="26" s="1"/>
  <c r="K29" i="26"/>
  <c r="AW29" i="26" s="1"/>
  <c r="AB28" i="26"/>
  <c r="BN28" i="26" s="1"/>
  <c r="K28" i="26"/>
  <c r="AW28" i="26" s="1"/>
  <c r="AB26" i="26"/>
  <c r="BN26" i="26" s="1"/>
  <c r="K26" i="26"/>
  <c r="AW26" i="26" s="1"/>
  <c r="AB25" i="26"/>
  <c r="BN25" i="26" s="1"/>
  <c r="K25" i="26"/>
  <c r="AW25" i="26" s="1"/>
  <c r="AB24" i="26"/>
  <c r="BN24" i="26" s="1"/>
  <c r="K24" i="26"/>
  <c r="AW24" i="26" s="1"/>
  <c r="AB23" i="26"/>
  <c r="BN23" i="26" s="1"/>
  <c r="K23" i="26"/>
  <c r="AW23" i="26" s="1"/>
  <c r="AB22" i="26"/>
  <c r="BN22" i="26" s="1"/>
  <c r="K22" i="26"/>
  <c r="AW22" i="26" s="1"/>
  <c r="AB21" i="26"/>
  <c r="BN21" i="26" s="1"/>
  <c r="K21" i="26"/>
  <c r="AB20" i="26"/>
  <c r="BN20" i="26" s="1"/>
  <c r="K20" i="26"/>
  <c r="AW20" i="26" s="1"/>
  <c r="AB19" i="26"/>
  <c r="BN19" i="26" s="1"/>
  <c r="K19" i="26"/>
  <c r="AW19" i="26" s="1"/>
  <c r="AB18" i="26"/>
  <c r="BN18" i="26" s="1"/>
  <c r="K18" i="26"/>
  <c r="AW18" i="26" s="1"/>
  <c r="AB17" i="26"/>
  <c r="BN17" i="26" s="1"/>
  <c r="K17" i="26"/>
  <c r="AW17" i="26" s="1"/>
  <c r="AB16" i="26"/>
  <c r="BN16" i="26" s="1"/>
  <c r="K16" i="26"/>
  <c r="AW16" i="26" s="1"/>
  <c r="AB15" i="26"/>
  <c r="BN15" i="26" s="1"/>
  <c r="K15" i="26"/>
  <c r="AW15" i="26" s="1"/>
  <c r="AB14" i="26"/>
  <c r="BN14" i="26" s="1"/>
  <c r="K14" i="26"/>
  <c r="AW14" i="26" s="1"/>
  <c r="AB13" i="26"/>
  <c r="BN13" i="26" s="1"/>
  <c r="K13" i="26"/>
  <c r="AW13" i="26" s="1"/>
  <c r="AB12" i="26"/>
  <c r="BN12" i="26" s="1"/>
  <c r="K12" i="26"/>
  <c r="AW12" i="26" s="1"/>
  <c r="AB11" i="26"/>
  <c r="BN11" i="26" s="1"/>
  <c r="K11" i="26"/>
  <c r="AW11" i="26" s="1"/>
  <c r="P10" i="26"/>
  <c r="Q10" i="26" s="1"/>
  <c r="R10" i="26" s="1"/>
  <c r="S10" i="26" s="1"/>
  <c r="T10" i="26" s="1"/>
  <c r="U10" i="26" s="1"/>
  <c r="V10" i="26" s="1"/>
  <c r="W10" i="26" s="1"/>
  <c r="X10" i="26" s="1"/>
  <c r="Y10" i="26" s="1"/>
  <c r="Z10" i="26" s="1"/>
  <c r="AA10" i="26" s="1"/>
  <c r="AB10" i="26" s="1"/>
  <c r="AC10" i="26" s="1"/>
  <c r="AD10" i="26" s="1"/>
  <c r="AF10" i="26" s="1"/>
  <c r="AE10" i="26" s="1"/>
  <c r="AP33" i="26" l="1"/>
  <c r="AR33" i="26"/>
  <c r="G21" i="26"/>
  <c r="AS21" i="26" s="1"/>
  <c r="AW21" i="26"/>
  <c r="AP32" i="26"/>
  <c r="AR32" i="26"/>
  <c r="AI39" i="28"/>
  <c r="AJ39" i="28" s="1"/>
  <c r="X41" i="28"/>
  <c r="X43" i="28"/>
  <c r="X12" i="28"/>
  <c r="X14" i="28"/>
  <c r="X16" i="28"/>
  <c r="X18" i="28"/>
  <c r="X20" i="28"/>
  <c r="X48" i="28" s="1"/>
  <c r="X22" i="28"/>
  <c r="X25" i="28"/>
  <c r="X29" i="28"/>
  <c r="X31" i="28"/>
  <c r="X40" i="28"/>
  <c r="X42" i="28"/>
  <c r="X35" i="28"/>
  <c r="X11" i="28"/>
  <c r="X13" i="28"/>
  <c r="X15" i="28"/>
  <c r="X17" i="28"/>
  <c r="X19" i="28"/>
  <c r="X21" i="28"/>
  <c r="X49" i="28" s="1"/>
  <c r="X24" i="28"/>
  <c r="AM24" i="28" s="1"/>
  <c r="X30" i="28"/>
  <c r="X23" i="28"/>
  <c r="X38" i="28"/>
  <c r="G22" i="28"/>
  <c r="G12" i="28"/>
  <c r="G16" i="28"/>
  <c r="G35" i="28"/>
  <c r="F35" i="28" s="1"/>
  <c r="F16" i="28"/>
  <c r="G20" i="28"/>
  <c r="G48" i="28" s="1"/>
  <c r="G30" i="28"/>
  <c r="G41" i="28"/>
  <c r="G11" i="28"/>
  <c r="F11" i="28" s="1"/>
  <c r="G13" i="28"/>
  <c r="G15" i="28"/>
  <c r="G17" i="28"/>
  <c r="G38" i="28"/>
  <c r="G14" i="28"/>
  <c r="G18" i="28"/>
  <c r="G34" i="28"/>
  <c r="F34" i="28" s="1"/>
  <c r="G43" i="28"/>
  <c r="G19" i="28"/>
  <c r="G21" i="28"/>
  <c r="G49" i="28" s="1"/>
  <c r="G25" i="28"/>
  <c r="G29" i="28"/>
  <c r="G31" i="28"/>
  <c r="G40" i="28"/>
  <c r="G42" i="28"/>
  <c r="AI32" i="28"/>
  <c r="X16" i="26"/>
  <c r="BJ16" i="26" s="1"/>
  <c r="X23" i="26"/>
  <c r="BJ23" i="26" s="1"/>
  <c r="X34" i="26"/>
  <c r="BJ34" i="26" s="1"/>
  <c r="X12" i="26"/>
  <c r="BJ12" i="26" s="1"/>
  <c r="X25" i="26"/>
  <c r="BJ25" i="26" s="1"/>
  <c r="X31" i="26"/>
  <c r="BJ31" i="26" s="1"/>
  <c r="X38" i="26"/>
  <c r="BJ38" i="26" s="1"/>
  <c r="X21" i="26"/>
  <c r="BJ21" i="26" s="1"/>
  <c r="X24" i="26"/>
  <c r="BJ24" i="26" s="1"/>
  <c r="X35" i="26"/>
  <c r="BJ35" i="26" s="1"/>
  <c r="X14" i="26"/>
  <c r="BJ14" i="26" s="1"/>
  <c r="X42" i="26"/>
  <c r="BJ42" i="26" s="1"/>
  <c r="X13" i="26"/>
  <c r="BJ13" i="26" s="1"/>
  <c r="X18" i="26"/>
  <c r="BJ18" i="26" s="1"/>
  <c r="X26" i="26"/>
  <c r="BJ26" i="26" s="1"/>
  <c r="X28" i="26"/>
  <c r="BJ28" i="26" s="1"/>
  <c r="X30" i="26"/>
  <c r="BJ30" i="26" s="1"/>
  <c r="X37" i="26"/>
  <c r="BJ37" i="26" s="1"/>
  <c r="X39" i="26"/>
  <c r="BJ39" i="26" s="1"/>
  <c r="X41" i="26"/>
  <c r="BJ41" i="26" s="1"/>
  <c r="X43" i="26"/>
  <c r="BJ43" i="26" s="1"/>
  <c r="X19" i="26"/>
  <c r="BJ19" i="26" s="1"/>
  <c r="X29" i="26"/>
  <c r="BJ29" i="26" s="1"/>
  <c r="X40" i="26"/>
  <c r="BJ40" i="26" s="1"/>
  <c r="X11" i="26"/>
  <c r="BJ11" i="26" s="1"/>
  <c r="X15" i="26"/>
  <c r="BJ15" i="26" s="1"/>
  <c r="X20" i="26"/>
  <c r="BJ20" i="26" s="1"/>
  <c r="X17" i="26"/>
  <c r="BJ17" i="26" s="1"/>
  <c r="X22" i="26"/>
  <c r="BJ22" i="26" s="1"/>
  <c r="X36" i="26"/>
  <c r="BJ36" i="26" s="1"/>
  <c r="G17" i="26"/>
  <c r="AS17" i="26" s="1"/>
  <c r="G30" i="26"/>
  <c r="AS30" i="26" s="1"/>
  <c r="G37" i="26"/>
  <c r="AS37" i="26" s="1"/>
  <c r="G41" i="26"/>
  <c r="AS41" i="26" s="1"/>
  <c r="G16" i="26"/>
  <c r="AS16" i="26" s="1"/>
  <c r="G19" i="26"/>
  <c r="AS19" i="26" s="1"/>
  <c r="G25" i="26"/>
  <c r="AS25" i="26" s="1"/>
  <c r="AE33" i="26"/>
  <c r="BQ33" i="26" s="1"/>
  <c r="G24" i="26"/>
  <c r="AS24" i="26" s="1"/>
  <c r="G29" i="26"/>
  <c r="AS29" i="26" s="1"/>
  <c r="G31" i="26"/>
  <c r="AS31" i="26" s="1"/>
  <c r="G38" i="26"/>
  <c r="AS38" i="26" s="1"/>
  <c r="G40" i="26"/>
  <c r="AS40" i="26" s="1"/>
  <c r="G42" i="26"/>
  <c r="G22" i="26"/>
  <c r="AS22" i="26" s="1"/>
  <c r="G28" i="26"/>
  <c r="AS28" i="26" s="1"/>
  <c r="G34" i="26"/>
  <c r="AS34" i="26" s="1"/>
  <c r="G39" i="26"/>
  <c r="G43" i="26"/>
  <c r="AS43" i="26" s="1"/>
  <c r="G12" i="26"/>
  <c r="AS12" i="26" s="1"/>
  <c r="G14" i="26"/>
  <c r="AS14" i="26" s="1"/>
  <c r="G36" i="26"/>
  <c r="AS36" i="26" s="1"/>
  <c r="G11" i="26"/>
  <c r="AS11" i="26" s="1"/>
  <c r="G13" i="26"/>
  <c r="AS13" i="26" s="1"/>
  <c r="G15" i="26"/>
  <c r="AS15" i="26" s="1"/>
  <c r="G18" i="26"/>
  <c r="G20" i="26"/>
  <c r="AS20" i="26" s="1"/>
  <c r="G23" i="26"/>
  <c r="G26" i="26"/>
  <c r="AS26" i="26" s="1"/>
  <c r="G35" i="26"/>
  <c r="F12" i="28"/>
  <c r="AI20" i="29"/>
  <c r="F34" i="26"/>
  <c r="AJ25" i="29"/>
  <c r="AJ24" i="29"/>
  <c r="AJ23" i="29"/>
  <c r="AH25" i="27"/>
  <c r="AH24" i="27"/>
  <c r="AH23" i="27"/>
  <c r="F42" i="28" l="1"/>
  <c r="AP42" i="28" s="1"/>
  <c r="F41" i="28"/>
  <c r="AP41" i="28" s="1"/>
  <c r="AR42" i="28"/>
  <c r="AP34" i="28"/>
  <c r="AR34" i="28"/>
  <c r="AR41" i="28"/>
  <c r="AR35" i="28"/>
  <c r="AP35" i="28"/>
  <c r="AR16" i="28"/>
  <c r="AP16" i="28"/>
  <c r="AP12" i="28"/>
  <c r="AR12" i="28"/>
  <c r="F24" i="28"/>
  <c r="AE24" i="28" s="1"/>
  <c r="AP11" i="28"/>
  <c r="AR11" i="28"/>
  <c r="F25" i="26"/>
  <c r="AP34" i="26"/>
  <c r="AR34" i="26"/>
  <c r="AM23" i="26"/>
  <c r="AS23" i="26"/>
  <c r="F21" i="26"/>
  <c r="AE21" i="26" s="1"/>
  <c r="BQ21" i="26" s="1"/>
  <c r="F16" i="26"/>
  <c r="F35" i="26"/>
  <c r="AS35" i="26"/>
  <c r="F18" i="26"/>
  <c r="AS18" i="26"/>
  <c r="F39" i="26"/>
  <c r="AS39" i="26"/>
  <c r="F42" i="26"/>
  <c r="AE42" i="26" s="1"/>
  <c r="BQ42" i="26" s="1"/>
  <c r="AS42" i="26"/>
  <c r="AP25" i="26"/>
  <c r="AR25" i="26"/>
  <c r="F37" i="26"/>
  <c r="AE37" i="26" s="1"/>
  <c r="BQ37" i="26" s="1"/>
  <c r="F20" i="26"/>
  <c r="F17" i="26"/>
  <c r="F28" i="26"/>
  <c r="AE28" i="26" s="1"/>
  <c r="BQ28" i="26" s="1"/>
  <c r="AJ33" i="28"/>
  <c r="AJ32" i="28"/>
  <c r="F14" i="28"/>
  <c r="F17" i="28"/>
  <c r="AR17" i="28" s="1"/>
  <c r="F21" i="28"/>
  <c r="F22" i="28"/>
  <c r="AM23" i="28"/>
  <c r="F23" i="28"/>
  <c r="AR23" i="28" s="1"/>
  <c r="F13" i="28"/>
  <c r="AM25" i="28"/>
  <c r="F43" i="28"/>
  <c r="F25" i="28"/>
  <c r="F40" i="28"/>
  <c r="AR40" i="28" s="1"/>
  <c r="F38" i="28"/>
  <c r="AR38" i="28" s="1"/>
  <c r="AE42" i="28"/>
  <c r="F29" i="28"/>
  <c r="AE16" i="28"/>
  <c r="F30" i="28"/>
  <c r="AE35" i="28"/>
  <c r="F20" i="28"/>
  <c r="F48" i="28" s="1"/>
  <c r="AE11" i="28"/>
  <c r="AE34" i="28"/>
  <c r="F18" i="28"/>
  <c r="AE14" i="28"/>
  <c r="F19" i="28"/>
  <c r="AE12" i="28"/>
  <c r="AE41" i="28"/>
  <c r="F15" i="28"/>
  <c r="F31" i="28"/>
  <c r="F23" i="26"/>
  <c r="AE23" i="26" s="1"/>
  <c r="BQ23" i="26" s="1"/>
  <c r="F38" i="26"/>
  <c r="F12" i="26"/>
  <c r="F24" i="26"/>
  <c r="AR24" i="26" s="1"/>
  <c r="AM24" i="26"/>
  <c r="AM25" i="26"/>
  <c r="F29" i="26"/>
  <c r="AR29" i="26" s="1"/>
  <c r="F36" i="26"/>
  <c r="AE18" i="26"/>
  <c r="BQ18" i="26" s="1"/>
  <c r="AE20" i="26"/>
  <c r="BQ20" i="26" s="1"/>
  <c r="AE27" i="26"/>
  <c r="BQ27" i="26" s="1"/>
  <c r="F43" i="26"/>
  <c r="AE25" i="26"/>
  <c r="BQ25" i="26" s="1"/>
  <c r="F14" i="26"/>
  <c r="F26" i="26"/>
  <c r="AG32" i="26"/>
  <c r="AL32" i="26" s="1"/>
  <c r="AE35" i="26"/>
  <c r="BQ35" i="26" s="1"/>
  <c r="AE34" i="26"/>
  <c r="BQ34" i="26" s="1"/>
  <c r="AE16" i="26"/>
  <c r="BQ16" i="26" s="1"/>
  <c r="AE17" i="26"/>
  <c r="BQ17" i="26" s="1"/>
  <c r="F15" i="26"/>
  <c r="F11" i="26"/>
  <c r="F22" i="26"/>
  <c r="F31" i="26"/>
  <c r="F41" i="26"/>
  <c r="F30" i="26"/>
  <c r="F19" i="26"/>
  <c r="F40" i="26"/>
  <c r="F13" i="26"/>
  <c r="AG26" i="23"/>
  <c r="AG26" i="22"/>
  <c r="AE25" i="28" l="1"/>
  <c r="AR25" i="28"/>
  <c r="AP25" i="28"/>
  <c r="AP18" i="28"/>
  <c r="AR18" i="28"/>
  <c r="AE43" i="28"/>
  <c r="AR43" i="28"/>
  <c r="AP43" i="28"/>
  <c r="AP14" i="28"/>
  <c r="AR14" i="28"/>
  <c r="AR31" i="28"/>
  <c r="AP31" i="28"/>
  <c r="AP15" i="28"/>
  <c r="AR15" i="28"/>
  <c r="AR19" i="28"/>
  <c r="AP19" i="28"/>
  <c r="AE13" i="28"/>
  <c r="AR13" i="28"/>
  <c r="AP13" i="28"/>
  <c r="AR24" i="28"/>
  <c r="AP24" i="28"/>
  <c r="AP29" i="28"/>
  <c r="AR29" i="28"/>
  <c r="AP30" i="28"/>
  <c r="AR30" i="28"/>
  <c r="AR21" i="28"/>
  <c r="F49" i="28"/>
  <c r="AE22" i="28"/>
  <c r="AR22" i="28"/>
  <c r="AP22" i="28"/>
  <c r="AP20" i="28"/>
  <c r="AR20" i="28"/>
  <c r="AP40" i="26"/>
  <c r="AR40" i="26"/>
  <c r="AP14" i="26"/>
  <c r="AR14" i="26"/>
  <c r="AP28" i="26"/>
  <c r="AR28" i="26"/>
  <c r="AP17" i="26"/>
  <c r="AR17" i="26"/>
  <c r="AP35" i="26"/>
  <c r="AR35" i="26"/>
  <c r="AP13" i="26"/>
  <c r="AR13" i="26"/>
  <c r="AP19" i="26"/>
  <c r="AR19" i="26"/>
  <c r="AP22" i="26"/>
  <c r="AR22" i="26"/>
  <c r="AP26" i="26"/>
  <c r="AR26" i="26"/>
  <c r="AP36" i="26"/>
  <c r="AR36" i="26"/>
  <c r="AP20" i="26"/>
  <c r="AR20" i="26"/>
  <c r="AP16" i="26"/>
  <c r="AR16" i="26"/>
  <c r="AP41" i="26"/>
  <c r="AR41" i="26"/>
  <c r="AP15" i="26"/>
  <c r="AR15" i="26"/>
  <c r="AP38" i="26"/>
  <c r="AR38" i="26"/>
  <c r="AP31" i="26"/>
  <c r="AR31" i="26"/>
  <c r="AP23" i="26"/>
  <c r="AR23" i="26"/>
  <c r="AP39" i="26"/>
  <c r="AR39" i="26"/>
  <c r="AE39" i="26"/>
  <c r="BQ39" i="26" s="1"/>
  <c r="AP30" i="26"/>
  <c r="AR30" i="26"/>
  <c r="AP43" i="26"/>
  <c r="AR43" i="26"/>
  <c r="AP12" i="26"/>
  <c r="AR12" i="26"/>
  <c r="AP37" i="26"/>
  <c r="AR37" i="26"/>
  <c r="AP42" i="26"/>
  <c r="AR42" i="26"/>
  <c r="AP18" i="26"/>
  <c r="AR18" i="26"/>
  <c r="AP21" i="26"/>
  <c r="AR21" i="26"/>
  <c r="AP11" i="26"/>
  <c r="AR11" i="26"/>
  <c r="AE12" i="26"/>
  <c r="BQ12" i="26" s="1"/>
  <c r="AE24" i="26"/>
  <c r="AP24" i="26"/>
  <c r="AE40" i="28"/>
  <c r="AP40" i="28"/>
  <c r="AE38" i="28"/>
  <c r="AG38" i="28" s="1"/>
  <c r="AL38" i="28" s="1"/>
  <c r="AP38" i="28"/>
  <c r="AE23" i="28"/>
  <c r="AG23" i="28" s="1"/>
  <c r="AL23" i="28" s="1"/>
  <c r="AP23" i="28"/>
  <c r="AE17" i="28"/>
  <c r="AP17" i="28"/>
  <c r="AE38" i="26"/>
  <c r="BQ38" i="26" s="1"/>
  <c r="AE36" i="26"/>
  <c r="AE29" i="26"/>
  <c r="BQ29" i="26" s="1"/>
  <c r="AP29" i="26"/>
  <c r="AE21" i="28"/>
  <c r="AE49" i="28" s="1"/>
  <c r="AP21" i="28"/>
  <c r="AG11" i="28"/>
  <c r="AE31" i="28"/>
  <c r="AG34" i="28"/>
  <c r="AE15" i="28"/>
  <c r="AE18" i="28"/>
  <c r="AE30" i="28"/>
  <c r="AE29" i="28"/>
  <c r="AE19" i="28"/>
  <c r="AE20" i="28"/>
  <c r="AE48" i="28" s="1"/>
  <c r="AG40" i="28"/>
  <c r="AL40" i="28" s="1"/>
  <c r="AE31" i="26"/>
  <c r="BQ31" i="26" s="1"/>
  <c r="AE11" i="26"/>
  <c r="BQ11" i="26" s="1"/>
  <c r="AE19" i="26"/>
  <c r="BQ19" i="26" s="1"/>
  <c r="AE14" i="26"/>
  <c r="BQ14" i="26" s="1"/>
  <c r="AG34" i="26"/>
  <c r="AL34" i="26" s="1"/>
  <c r="AE40" i="26"/>
  <c r="BQ40" i="26" s="1"/>
  <c r="AE30" i="26"/>
  <c r="BQ30" i="26" s="1"/>
  <c r="AE41" i="26"/>
  <c r="BQ41" i="26" s="1"/>
  <c r="AE22" i="26"/>
  <c r="BQ22" i="26" s="1"/>
  <c r="AE15" i="26"/>
  <c r="BQ15" i="26" s="1"/>
  <c r="AE26" i="26"/>
  <c r="BQ26" i="26" s="1"/>
  <c r="AE13" i="26"/>
  <c r="BQ13" i="26" s="1"/>
  <c r="AI32" i="26"/>
  <c r="AE43" i="26"/>
  <c r="BQ43" i="26" s="1"/>
  <c r="AG17" i="23"/>
  <c r="F19" i="23"/>
  <c r="AI34" i="28" l="1"/>
  <c r="AL34" i="28"/>
  <c r="AI11" i="28"/>
  <c r="AL11" i="28"/>
  <c r="AG39" i="26"/>
  <c r="AL39" i="26" s="1"/>
  <c r="AG23" i="26"/>
  <c r="BQ24" i="26"/>
  <c r="AG38" i="26"/>
  <c r="AG36" i="26"/>
  <c r="BQ36" i="26"/>
  <c r="AP44" i="26"/>
  <c r="AJ34" i="28"/>
  <c r="AJ35" i="28"/>
  <c r="AE44" i="28"/>
  <c r="AP44" i="28"/>
  <c r="AJ33" i="26"/>
  <c r="AJ32" i="26"/>
  <c r="AE44" i="26"/>
  <c r="AG20" i="28"/>
  <c r="AL20" i="28" s="1"/>
  <c r="AG14" i="28"/>
  <c r="AG26" i="28"/>
  <c r="AL26" i="28" s="1"/>
  <c r="AG29" i="28"/>
  <c r="AL29" i="28" s="1"/>
  <c r="AI38" i="28"/>
  <c r="AJ38" i="28" s="1"/>
  <c r="AI23" i="28"/>
  <c r="AJ23" i="28" s="1"/>
  <c r="AI40" i="28"/>
  <c r="AJ40" i="28" s="1"/>
  <c r="AG17" i="28"/>
  <c r="AL17" i="28" s="1"/>
  <c r="AG20" i="26"/>
  <c r="AG14" i="26"/>
  <c r="AL14" i="26" s="1"/>
  <c r="AG17" i="26"/>
  <c r="AL17" i="26" s="1"/>
  <c r="AG40" i="26"/>
  <c r="AL40" i="26" s="1"/>
  <c r="AI34" i="26"/>
  <c r="AJ34" i="26" s="1"/>
  <c r="AG11" i="26"/>
  <c r="AG26" i="26"/>
  <c r="AL26" i="26" s="1"/>
  <c r="AG29" i="26"/>
  <c r="AL29" i="26" s="1"/>
  <c r="F19" i="22"/>
  <c r="L19" i="22"/>
  <c r="M19" i="22"/>
  <c r="N19" i="22"/>
  <c r="Q19" i="22" s="1"/>
  <c r="T19" i="22" s="1"/>
  <c r="W19" i="22" s="1"/>
  <c r="Z19" i="22" s="1"/>
  <c r="AC19" i="22" s="1"/>
  <c r="AF19" i="22" s="1"/>
  <c r="O19" i="22"/>
  <c r="R19" i="22" s="1"/>
  <c r="U19" i="22" s="1"/>
  <c r="X19" i="22" s="1"/>
  <c r="AA19" i="22" s="1"/>
  <c r="AD19" i="22" s="1"/>
  <c r="AG19" i="22" s="1"/>
  <c r="P19" i="22"/>
  <c r="S19" i="22"/>
  <c r="V19" i="22" s="1"/>
  <c r="Y19" i="22" s="1"/>
  <c r="AB19" i="22" s="1"/>
  <c r="AE19" i="22" s="1"/>
  <c r="AG14" i="23"/>
  <c r="AE19" i="23"/>
  <c r="AE13" i="23"/>
  <c r="AE14" i="23"/>
  <c r="AE15" i="23"/>
  <c r="AE16" i="23"/>
  <c r="AG14" i="22"/>
  <c r="AE14" i="22"/>
  <c r="AE15" i="22"/>
  <c r="AE16" i="22"/>
  <c r="AI14" i="28" l="1"/>
  <c r="AL14" i="28"/>
  <c r="AI20" i="26"/>
  <c r="AJ20" i="26" s="1"/>
  <c r="AL20" i="26"/>
  <c r="AI23" i="26"/>
  <c r="AJ23" i="26" s="1"/>
  <c r="AL23" i="26"/>
  <c r="AI36" i="26"/>
  <c r="AJ36" i="26" s="1"/>
  <c r="AL36" i="26"/>
  <c r="AI11" i="26"/>
  <c r="AJ11" i="26" s="1"/>
  <c r="AL11" i="26"/>
  <c r="AI39" i="26"/>
  <c r="AJ39" i="26" s="1"/>
  <c r="AI38" i="26"/>
  <c r="AJ38" i="26" s="1"/>
  <c r="AL38" i="26"/>
  <c r="AI20" i="28"/>
  <c r="AJ20" i="28" s="1"/>
  <c r="AG48" i="28"/>
  <c r="AJ14" i="28"/>
  <c r="AJ15" i="28"/>
  <c r="AG44" i="28"/>
  <c r="AI26" i="28"/>
  <c r="AI17" i="28"/>
  <c r="AI29" i="28"/>
  <c r="AG44" i="26"/>
  <c r="AG46" i="26" s="1"/>
  <c r="AI29" i="26"/>
  <c r="AI17" i="26"/>
  <c r="AJ17" i="26" s="1"/>
  <c r="AI14" i="26"/>
  <c r="AI26" i="26"/>
  <c r="AJ26" i="26" s="1"/>
  <c r="AI40" i="26"/>
  <c r="AJ40" i="26" s="1"/>
  <c r="X11" i="22"/>
  <c r="AH10" i="28" l="1"/>
  <c r="AG47" i="28"/>
  <c r="AJ29" i="28"/>
  <c r="AJ30" i="28"/>
  <c r="AJ26" i="28"/>
  <c r="AJ27" i="28"/>
  <c r="AJ17" i="28"/>
  <c r="AJ18" i="28"/>
  <c r="AJ29" i="26"/>
  <c r="AJ30" i="26"/>
  <c r="AJ14" i="26"/>
  <c r="AJ15" i="26"/>
  <c r="AG32" i="23"/>
  <c r="AG32" i="22"/>
  <c r="AJ11" i="28" l="1"/>
  <c r="AJ12" i="28"/>
  <c r="AG34" i="23"/>
  <c r="AG34" i="22"/>
  <c r="AE30" i="22" l="1"/>
  <c r="AE29" i="22"/>
  <c r="K26" i="23" l="1"/>
  <c r="G26" i="23" s="1"/>
  <c r="K27" i="23"/>
  <c r="G27" i="23" s="1"/>
  <c r="F27" i="23" s="1"/>
  <c r="AE27" i="23" s="1"/>
  <c r="K28" i="23"/>
  <c r="K29" i="23"/>
  <c r="G29" i="23" s="1"/>
  <c r="K30" i="23"/>
  <c r="G30" i="23" s="1"/>
  <c r="K31" i="23"/>
  <c r="K32" i="23"/>
  <c r="G32" i="23" s="1"/>
  <c r="K33" i="23"/>
  <c r="G33" i="23" s="1"/>
  <c r="K34" i="23"/>
  <c r="K35" i="23"/>
  <c r="K36" i="23"/>
  <c r="K37" i="23"/>
  <c r="K38" i="23"/>
  <c r="G38" i="23" s="1"/>
  <c r="K39" i="23"/>
  <c r="K40" i="23"/>
  <c r="K41" i="23"/>
  <c r="G41" i="23" s="1"/>
  <c r="F41" i="23" s="1"/>
  <c r="AE41" i="23" s="1"/>
  <c r="K42" i="23"/>
  <c r="K43" i="23"/>
  <c r="G28" i="23"/>
  <c r="G31" i="23"/>
  <c r="F31" i="23" s="1"/>
  <c r="AE31" i="23" s="1"/>
  <c r="G34" i="23"/>
  <c r="G35" i="23"/>
  <c r="G36" i="23"/>
  <c r="AE36" i="23" s="1"/>
  <c r="G37" i="23"/>
  <c r="AE37" i="23" s="1"/>
  <c r="AE39" i="23"/>
  <c r="G40" i="23"/>
  <c r="F40" i="23" s="1"/>
  <c r="AE40" i="23" s="1"/>
  <c r="G42" i="23"/>
  <c r="F42" i="23" s="1"/>
  <c r="AE42" i="23" s="1"/>
  <c r="G43" i="23"/>
  <c r="F43" i="23" s="1"/>
  <c r="AE43" i="23" s="1"/>
  <c r="X26" i="23"/>
  <c r="X27" i="23"/>
  <c r="X30" i="23"/>
  <c r="X31" i="23"/>
  <c r="X32" i="23"/>
  <c r="X35" i="23"/>
  <c r="X36" i="23"/>
  <c r="X37" i="23"/>
  <c r="X38" i="23"/>
  <c r="X39" i="23"/>
  <c r="X40" i="23"/>
  <c r="X41" i="23"/>
  <c r="X42" i="23"/>
  <c r="X43" i="23"/>
  <c r="AB26" i="23"/>
  <c r="AB27" i="23"/>
  <c r="AB28" i="23"/>
  <c r="X28" i="23" s="1"/>
  <c r="AB29" i="23"/>
  <c r="X29" i="23" s="1"/>
  <c r="AB30" i="23"/>
  <c r="AB31" i="23"/>
  <c r="AB32" i="23"/>
  <c r="AB33" i="23"/>
  <c r="X33" i="23" s="1"/>
  <c r="AB34" i="23"/>
  <c r="X34" i="23" s="1"/>
  <c r="AB35" i="23"/>
  <c r="AB36" i="23"/>
  <c r="AB37" i="23"/>
  <c r="AB38" i="23"/>
  <c r="AB39" i="23"/>
  <c r="AB40" i="23"/>
  <c r="AB41" i="23"/>
  <c r="AB42" i="23"/>
  <c r="AB43" i="23"/>
  <c r="AB11" i="23"/>
  <c r="X11" i="23" s="1"/>
  <c r="AB12" i="23"/>
  <c r="AB13" i="23"/>
  <c r="X13" i="23" s="1"/>
  <c r="AB14" i="23"/>
  <c r="AB15" i="23"/>
  <c r="AB16" i="23"/>
  <c r="AB17" i="23"/>
  <c r="AB18" i="23"/>
  <c r="X18" i="23" s="1"/>
  <c r="AB19" i="23"/>
  <c r="AB20" i="23"/>
  <c r="AB21" i="23"/>
  <c r="AB22" i="23"/>
  <c r="X12" i="23"/>
  <c r="X14" i="23"/>
  <c r="X15" i="23"/>
  <c r="X16" i="23"/>
  <c r="X17" i="23"/>
  <c r="X19" i="23"/>
  <c r="X20" i="23"/>
  <c r="X21" i="23"/>
  <c r="X22" i="23"/>
  <c r="K11" i="23"/>
  <c r="K12" i="23"/>
  <c r="K13" i="23"/>
  <c r="G13" i="23" s="1"/>
  <c r="K14" i="23"/>
  <c r="G14" i="23" s="1"/>
  <c r="K15" i="23"/>
  <c r="K16" i="23"/>
  <c r="K17" i="23"/>
  <c r="G17" i="23" s="1"/>
  <c r="F17" i="23" s="1"/>
  <c r="AE17" i="23" s="1"/>
  <c r="K18" i="23"/>
  <c r="K19" i="23"/>
  <c r="K20" i="23"/>
  <c r="K21" i="23"/>
  <c r="K22" i="23"/>
  <c r="G22" i="23" s="1"/>
  <c r="F22" i="23" s="1"/>
  <c r="AE22" i="23" s="1"/>
  <c r="G11" i="23"/>
  <c r="G12" i="23"/>
  <c r="G15" i="23"/>
  <c r="G16" i="23"/>
  <c r="G18" i="23"/>
  <c r="G19" i="23"/>
  <c r="G20" i="23"/>
  <c r="G21" i="23"/>
  <c r="AE36" i="22"/>
  <c r="AE37" i="22"/>
  <c r="AE38" i="22"/>
  <c r="AE39" i="22"/>
  <c r="AE40" i="22"/>
  <c r="AE41" i="22"/>
  <c r="AE42" i="22"/>
  <c r="AE43" i="22"/>
  <c r="AB26" i="22"/>
  <c r="X26" i="22" s="1"/>
  <c r="AB27" i="22"/>
  <c r="X27" i="22" s="1"/>
  <c r="AB28" i="22"/>
  <c r="AB29" i="22"/>
  <c r="X29" i="22" s="1"/>
  <c r="AB30" i="22"/>
  <c r="AB31" i="22"/>
  <c r="AB32" i="22"/>
  <c r="X32" i="22" s="1"/>
  <c r="AB33" i="22"/>
  <c r="X33" i="22" s="1"/>
  <c r="AB34" i="22"/>
  <c r="AB35" i="22"/>
  <c r="AB36" i="22"/>
  <c r="AB37" i="22"/>
  <c r="X37" i="22" s="1"/>
  <c r="AB38" i="22"/>
  <c r="AB39" i="22"/>
  <c r="AB40" i="22"/>
  <c r="AB41" i="22"/>
  <c r="X41" i="22" s="1"/>
  <c r="AB42" i="22"/>
  <c r="AB43" i="22"/>
  <c r="X28" i="22"/>
  <c r="X30" i="22"/>
  <c r="X31" i="22"/>
  <c r="X34" i="22"/>
  <c r="X35" i="22"/>
  <c r="X36" i="22"/>
  <c r="X38" i="22"/>
  <c r="X39" i="22"/>
  <c r="X40" i="22"/>
  <c r="X42" i="22"/>
  <c r="X43" i="22"/>
  <c r="K26" i="22"/>
  <c r="G26" i="22" s="1"/>
  <c r="K27" i="22"/>
  <c r="K28" i="22"/>
  <c r="K29" i="22"/>
  <c r="G29" i="22" s="1"/>
  <c r="K30" i="22"/>
  <c r="G30" i="22" s="1"/>
  <c r="K31" i="22"/>
  <c r="G31" i="22" s="1"/>
  <c r="K32" i="22"/>
  <c r="K33" i="22"/>
  <c r="G33" i="22" s="1"/>
  <c r="K34" i="22"/>
  <c r="G34" i="22" s="1"/>
  <c r="F34" i="22" s="1"/>
  <c r="AE34" i="22" s="1"/>
  <c r="K35" i="22"/>
  <c r="K36" i="22"/>
  <c r="K37" i="22"/>
  <c r="G37" i="22" s="1"/>
  <c r="K38" i="22"/>
  <c r="G38" i="22" s="1"/>
  <c r="F38" i="22" s="1"/>
  <c r="K39" i="22"/>
  <c r="K40" i="22"/>
  <c r="K41" i="22"/>
  <c r="G41" i="22" s="1"/>
  <c r="K42" i="22"/>
  <c r="G42" i="22" s="1"/>
  <c r="F42" i="22" s="1"/>
  <c r="K43" i="22"/>
  <c r="G27" i="22"/>
  <c r="G28" i="22"/>
  <c r="G32" i="22"/>
  <c r="G35" i="22"/>
  <c r="G36" i="22"/>
  <c r="G40" i="22"/>
  <c r="G43" i="22"/>
  <c r="F35" i="22"/>
  <c r="AE35" i="22" s="1"/>
  <c r="F40" i="22"/>
  <c r="AB11" i="22"/>
  <c r="AB12" i="22"/>
  <c r="X12" i="22" s="1"/>
  <c r="AB13" i="22"/>
  <c r="X13" i="22" s="1"/>
  <c r="AB14" i="22"/>
  <c r="X14" i="22" s="1"/>
  <c r="AB15" i="22"/>
  <c r="AB16" i="22"/>
  <c r="X16" i="22" s="1"/>
  <c r="AB17" i="22"/>
  <c r="X17" i="22" s="1"/>
  <c r="AB18" i="22"/>
  <c r="X18" i="22" s="1"/>
  <c r="AB20" i="22"/>
  <c r="X20" i="22" s="1"/>
  <c r="AB21" i="22"/>
  <c r="X21" i="22" s="1"/>
  <c r="AB22" i="22"/>
  <c r="X22" i="22" s="1"/>
  <c r="X15" i="22"/>
  <c r="K11" i="22"/>
  <c r="G11" i="22" s="1"/>
  <c r="F11" i="22" s="1"/>
  <c r="AE11" i="22" s="1"/>
  <c r="K12" i="22"/>
  <c r="G12" i="22" s="1"/>
  <c r="K13" i="22"/>
  <c r="K14" i="22"/>
  <c r="K15" i="22"/>
  <c r="G15" i="22" s="1"/>
  <c r="K16" i="22"/>
  <c r="G16" i="22" s="1"/>
  <c r="K17" i="22"/>
  <c r="G17" i="22" s="1"/>
  <c r="K18" i="22"/>
  <c r="G18" i="22" s="1"/>
  <c r="F18" i="22" s="1"/>
  <c r="AE18" i="22" s="1"/>
  <c r="K19" i="22"/>
  <c r="G19" i="22" s="1"/>
  <c r="K20" i="22"/>
  <c r="G20" i="22" s="1"/>
  <c r="K21" i="22"/>
  <c r="G21" i="22" s="1"/>
  <c r="K22" i="22"/>
  <c r="G22" i="22" s="1"/>
  <c r="G13" i="22"/>
  <c r="G14" i="22"/>
  <c r="F26" i="23" l="1"/>
  <c r="AE26" i="23" s="1"/>
  <c r="F28" i="23"/>
  <c r="AE28" i="23" s="1"/>
  <c r="F26" i="22"/>
  <c r="AE26" i="22" s="1"/>
  <c r="F28" i="22"/>
  <c r="AE28" i="22" s="1"/>
  <c r="F18" i="23"/>
  <c r="AE18" i="23" s="1"/>
  <c r="F17" i="22"/>
  <c r="AE17" i="22" s="1"/>
  <c r="AG17" i="22" s="1"/>
  <c r="F11" i="23"/>
  <c r="AE11" i="23" s="1"/>
  <c r="F13" i="23"/>
  <c r="F21" i="23"/>
  <c r="AE21" i="23" s="1"/>
  <c r="F32" i="23"/>
  <c r="AE32" i="23" s="1"/>
  <c r="F33" i="23"/>
  <c r="AE33" i="23" s="1"/>
  <c r="F32" i="22"/>
  <c r="AE32" i="22" s="1"/>
  <c r="F34" i="23"/>
  <c r="AE34" i="23" s="1"/>
  <c r="F35" i="23"/>
  <c r="AE35" i="23" s="1"/>
  <c r="F29" i="23"/>
  <c r="AE29" i="23" s="1"/>
  <c r="F30" i="23"/>
  <c r="AE30" i="23" s="1"/>
  <c r="F30" i="22"/>
  <c r="F38" i="23"/>
  <c r="AE38" i="23" s="1"/>
  <c r="F20" i="23"/>
  <c r="AE20" i="23" s="1"/>
  <c r="AG20" i="23" s="1"/>
  <c r="F12" i="23"/>
  <c r="AE12" i="23" s="1"/>
  <c r="F43" i="22"/>
  <c r="F27" i="22"/>
  <c r="AE27" i="22" s="1"/>
  <c r="F31" i="22"/>
  <c r="AE31" i="22" s="1"/>
  <c r="F41" i="22"/>
  <c r="F33" i="22"/>
  <c r="AE33" i="22" s="1"/>
  <c r="F29" i="22"/>
  <c r="F13" i="22"/>
  <c r="AE13" i="22" s="1"/>
  <c r="F22" i="22"/>
  <c r="AE22" i="22" s="1"/>
  <c r="F21" i="22"/>
  <c r="AE21" i="22" s="1"/>
  <c r="F20" i="22"/>
  <c r="AE20" i="22" s="1"/>
  <c r="AG20" i="22" s="1"/>
  <c r="F12" i="22"/>
  <c r="AE12" i="22" s="1"/>
  <c r="AG11" i="22" s="1"/>
  <c r="AH25" i="23"/>
  <c r="AH24" i="23"/>
  <c r="AH23" i="23"/>
  <c r="AF58" i="23"/>
  <c r="AB25" i="23"/>
  <c r="X25" i="23" s="1"/>
  <c r="K25" i="23"/>
  <c r="G25" i="23" s="1"/>
  <c r="AB24" i="23"/>
  <c r="X24" i="23" s="1"/>
  <c r="K24" i="23"/>
  <c r="G24" i="23" s="1"/>
  <c r="AB23" i="23"/>
  <c r="X23" i="23" s="1"/>
  <c r="K23" i="23"/>
  <c r="G23" i="23" s="1"/>
  <c r="P10" i="23"/>
  <c r="Q10" i="23" s="1"/>
  <c r="R10" i="23" s="1"/>
  <c r="S10" i="23" s="1"/>
  <c r="T10" i="23" s="1"/>
  <c r="U10" i="23" s="1"/>
  <c r="V10" i="23" s="1"/>
  <c r="W10" i="23" s="1"/>
  <c r="X10" i="23" s="1"/>
  <c r="Y10" i="23" s="1"/>
  <c r="Z10" i="23" s="1"/>
  <c r="AA10" i="23" s="1"/>
  <c r="AB10" i="23" s="1"/>
  <c r="AC10" i="23" s="1"/>
  <c r="AD10" i="23" s="1"/>
  <c r="AF10" i="23" s="1"/>
  <c r="AE10" i="23" s="1"/>
  <c r="AF46" i="22"/>
  <c r="AB25" i="22"/>
  <c r="X25" i="22" s="1"/>
  <c r="K25" i="22"/>
  <c r="G25" i="22" s="1"/>
  <c r="AB24" i="22"/>
  <c r="X24" i="22" s="1"/>
  <c r="K24" i="22"/>
  <c r="G24" i="22" s="1"/>
  <c r="F24" i="22" s="1"/>
  <c r="AE24" i="22" s="1"/>
  <c r="AB23" i="22"/>
  <c r="X23" i="22" s="1"/>
  <c r="K23" i="22"/>
  <c r="G23" i="22" s="1"/>
  <c r="P10" i="22"/>
  <c r="Q10" i="22" s="1"/>
  <c r="R10" i="22" s="1"/>
  <c r="S10" i="22" s="1"/>
  <c r="T10" i="22" s="1"/>
  <c r="U10" i="22" s="1"/>
  <c r="V10" i="22" s="1"/>
  <c r="W10" i="22" s="1"/>
  <c r="X10" i="22" s="1"/>
  <c r="Y10" i="22" s="1"/>
  <c r="Z10" i="22" s="1"/>
  <c r="AA10" i="22" s="1"/>
  <c r="AB10" i="22" s="1"/>
  <c r="AC10" i="22" s="1"/>
  <c r="AD10" i="22" s="1"/>
  <c r="AF10" i="22" s="1"/>
  <c r="AE10" i="22" s="1"/>
  <c r="AG11" i="23" l="1"/>
  <c r="F24" i="23"/>
  <c r="AE24" i="23" s="1"/>
  <c r="F23" i="23"/>
  <c r="AE23" i="23" s="1"/>
  <c r="F23" i="22"/>
  <c r="AE23" i="22" s="1"/>
  <c r="F25" i="23"/>
  <c r="AE25" i="23" s="1"/>
  <c r="AG23" i="23" s="1"/>
  <c r="F25" i="22"/>
  <c r="AE25" i="22" s="1"/>
  <c r="AH25" i="22"/>
  <c r="AH24" i="22"/>
  <c r="AH23" i="22"/>
  <c r="AG23" i="22" l="1"/>
  <c r="AG48" i="22"/>
  <c r="AE58" i="23"/>
  <c r="AH58" i="23"/>
  <c r="AH60" i="23" s="1"/>
  <c r="AE46" i="22"/>
  <c r="AH46" i="22"/>
  <c r="AH48" i="22" s="1"/>
  <c r="AG58" i="23" l="1"/>
  <c r="AG60" i="23" s="1"/>
  <c r="AI44" i="18" l="1"/>
  <c r="AH44" i="18"/>
  <c r="AH42" i="18"/>
  <c r="AH43" i="18"/>
  <c r="AH41" i="18"/>
  <c r="AH40" i="18"/>
  <c r="AH40" i="21" l="1"/>
  <c r="AH39" i="21"/>
  <c r="AH38" i="21"/>
  <c r="AH36" i="21"/>
  <c r="AH34" i="21"/>
  <c r="AH32" i="21"/>
  <c r="AH29" i="21"/>
  <c r="AH26" i="21"/>
  <c r="AH23" i="21"/>
  <c r="AH20" i="21"/>
  <c r="AH17" i="21"/>
  <c r="AH14" i="21"/>
  <c r="AH11" i="21"/>
  <c r="AG47" i="21"/>
  <c r="AG44" i="21"/>
  <c r="AB43" i="21"/>
  <c r="X43" i="21" s="1"/>
  <c r="K43" i="21"/>
  <c r="G43" i="21" s="1"/>
  <c r="F43" i="21" s="1"/>
  <c r="AE43" i="21" s="1"/>
  <c r="AB42" i="21"/>
  <c r="X42" i="21" s="1"/>
  <c r="K42" i="21"/>
  <c r="G42" i="21" s="1"/>
  <c r="F42" i="21" s="1"/>
  <c r="AE42" i="21" s="1"/>
  <c r="AB41" i="21"/>
  <c r="X41" i="21"/>
  <c r="K41" i="21"/>
  <c r="G41" i="21" s="1"/>
  <c r="AB40" i="21"/>
  <c r="X40" i="21" s="1"/>
  <c r="F40" i="21" s="1"/>
  <c r="AE40" i="21" s="1"/>
  <c r="K40" i="21"/>
  <c r="G40" i="21"/>
  <c r="AB39" i="21"/>
  <c r="X39" i="21"/>
  <c r="K39" i="21"/>
  <c r="G39" i="21"/>
  <c r="AB38" i="21"/>
  <c r="X38" i="21"/>
  <c r="K38" i="21"/>
  <c r="G38" i="21" s="1"/>
  <c r="AB37" i="21"/>
  <c r="X37" i="21"/>
  <c r="K37" i="21"/>
  <c r="G37" i="21"/>
  <c r="AB36" i="21"/>
  <c r="X36" i="21"/>
  <c r="K36" i="21"/>
  <c r="G36" i="21" s="1"/>
  <c r="AB35" i="21"/>
  <c r="X35" i="21"/>
  <c r="K35" i="21"/>
  <c r="G35" i="21"/>
  <c r="AB34" i="21"/>
  <c r="X34" i="21"/>
  <c r="K34" i="21"/>
  <c r="G34" i="21" s="1"/>
  <c r="AB33" i="21"/>
  <c r="X33" i="21"/>
  <c r="K33" i="21"/>
  <c r="G33" i="21"/>
  <c r="AB32" i="21"/>
  <c r="X32" i="21"/>
  <c r="K32" i="21"/>
  <c r="G32" i="21" s="1"/>
  <c r="AB31" i="21"/>
  <c r="X31" i="21"/>
  <c r="K31" i="21"/>
  <c r="G31" i="21"/>
  <c r="AB30" i="21"/>
  <c r="X30" i="21" s="1"/>
  <c r="F30" i="21" s="1"/>
  <c r="AE30" i="21" s="1"/>
  <c r="K30" i="21"/>
  <c r="G30" i="21"/>
  <c r="AB29" i="21"/>
  <c r="X29" i="21"/>
  <c r="K29" i="21"/>
  <c r="G29" i="21"/>
  <c r="AB28" i="21"/>
  <c r="X28" i="21" s="1"/>
  <c r="K28" i="21"/>
  <c r="G28" i="21"/>
  <c r="F28" i="21"/>
  <c r="AE28" i="21" s="1"/>
  <c r="AB27" i="21"/>
  <c r="X27" i="21"/>
  <c r="F27" i="21" s="1"/>
  <c r="AE27" i="21" s="1"/>
  <c r="K27" i="21"/>
  <c r="G27" i="21"/>
  <c r="AF26" i="21"/>
  <c r="AB26" i="21"/>
  <c r="X26" i="21"/>
  <c r="K26" i="21"/>
  <c r="G26" i="21"/>
  <c r="AB25" i="21"/>
  <c r="X25" i="21" s="1"/>
  <c r="F25" i="21" s="1"/>
  <c r="AE25" i="21" s="1"/>
  <c r="K25" i="21"/>
  <c r="G25" i="21"/>
  <c r="AB24" i="21"/>
  <c r="X24" i="21"/>
  <c r="F24" i="21" s="1"/>
  <c r="AE24" i="21" s="1"/>
  <c r="K24" i="21"/>
  <c r="G24" i="21"/>
  <c r="AB23" i="21"/>
  <c r="X23" i="21" s="1"/>
  <c r="K23" i="21"/>
  <c r="G23" i="21"/>
  <c r="F23" i="21"/>
  <c r="AE23" i="21" s="1"/>
  <c r="AB22" i="21"/>
  <c r="X22" i="21"/>
  <c r="R22" i="21"/>
  <c r="L22" i="21"/>
  <c r="K22" i="21"/>
  <c r="G22" i="21"/>
  <c r="AB21" i="21"/>
  <c r="X21" i="21" s="1"/>
  <c r="K21" i="21"/>
  <c r="G21" i="21"/>
  <c r="F21" i="21"/>
  <c r="AE21" i="21" s="1"/>
  <c r="AB20" i="21"/>
  <c r="X20" i="21"/>
  <c r="K20" i="21"/>
  <c r="G20" i="21"/>
  <c r="AB19" i="21"/>
  <c r="X19" i="21" s="1"/>
  <c r="F19" i="21" s="1"/>
  <c r="AE19" i="21" s="1"/>
  <c r="K19" i="21"/>
  <c r="G19" i="21"/>
  <c r="AB18" i="21"/>
  <c r="X18" i="21"/>
  <c r="F18" i="21" s="1"/>
  <c r="AE18" i="21" s="1"/>
  <c r="K18" i="21"/>
  <c r="G18" i="21"/>
  <c r="AB17" i="21"/>
  <c r="X17" i="21" s="1"/>
  <c r="K17" i="21"/>
  <c r="G17" i="21"/>
  <c r="F17" i="21"/>
  <c r="AE17" i="21" s="1"/>
  <c r="AB16" i="21"/>
  <c r="X16" i="21"/>
  <c r="F16" i="21" s="1"/>
  <c r="AE16" i="21" s="1"/>
  <c r="K16" i="21"/>
  <c r="G16" i="21"/>
  <c r="AB15" i="21"/>
  <c r="X15" i="21"/>
  <c r="K15" i="21"/>
  <c r="G15" i="21" s="1"/>
  <c r="F15" i="21" s="1"/>
  <c r="AE15" i="21" s="1"/>
  <c r="AB14" i="21"/>
  <c r="X14" i="21"/>
  <c r="F14" i="21" s="1"/>
  <c r="AE14" i="21" s="1"/>
  <c r="K14" i="21"/>
  <c r="G14" i="21"/>
  <c r="AB13" i="21"/>
  <c r="X13" i="21"/>
  <c r="K13" i="21"/>
  <c r="G13" i="21" s="1"/>
  <c r="F13" i="21" s="1"/>
  <c r="AE13" i="21" s="1"/>
  <c r="AB12" i="21"/>
  <c r="X12" i="21"/>
  <c r="K12" i="21"/>
  <c r="G12" i="21"/>
  <c r="AD11" i="21"/>
  <c r="AB11" i="21"/>
  <c r="X11" i="21"/>
  <c r="K11" i="21"/>
  <c r="G11" i="21"/>
  <c r="T10" i="21"/>
  <c r="U10" i="21" s="1"/>
  <c r="V10" i="21" s="1"/>
  <c r="W10" i="21" s="1"/>
  <c r="X10" i="21" s="1"/>
  <c r="Y10" i="21" s="1"/>
  <c r="Z10" i="21" s="1"/>
  <c r="AA10" i="21" s="1"/>
  <c r="AB10" i="21" s="1"/>
  <c r="AC10" i="21" s="1"/>
  <c r="AD10" i="21" s="1"/>
  <c r="AF10" i="21" s="1"/>
  <c r="AE10" i="21" s="1"/>
  <c r="P10" i="21"/>
  <c r="Q10" i="21" s="1"/>
  <c r="R10" i="21" s="1"/>
  <c r="S10" i="21" s="1"/>
  <c r="AH44" i="21" l="1"/>
  <c r="F11" i="21"/>
  <c r="AE11" i="21" s="1"/>
  <c r="F12" i="21"/>
  <c r="AE12" i="21" s="1"/>
  <c r="F22" i="21"/>
  <c r="AE22" i="21" s="1"/>
  <c r="F32" i="21"/>
  <c r="AE32" i="21" s="1"/>
  <c r="AG32" i="21" s="1"/>
  <c r="F33" i="21"/>
  <c r="AE33" i="21" s="1"/>
  <c r="F34" i="21"/>
  <c r="AE34" i="21" s="1"/>
  <c r="F35" i="21"/>
  <c r="AE35" i="21" s="1"/>
  <c r="F41" i="21"/>
  <c r="AE41" i="21" s="1"/>
  <c r="AG17" i="21"/>
  <c r="AG23" i="21"/>
  <c r="F29" i="21"/>
  <c r="AE29" i="21" s="1"/>
  <c r="F36" i="21"/>
  <c r="AE36" i="21" s="1"/>
  <c r="AG36" i="21" s="1"/>
  <c r="F37" i="21"/>
  <c r="AE37" i="21" s="1"/>
  <c r="AG14" i="21"/>
  <c r="F20" i="21"/>
  <c r="AE20" i="21" s="1"/>
  <c r="AG20" i="21" s="1"/>
  <c r="F26" i="21"/>
  <c r="AE26" i="21" s="1"/>
  <c r="AG26" i="21" s="1"/>
  <c r="F31" i="21"/>
  <c r="AE31" i="21" s="1"/>
  <c r="F38" i="21"/>
  <c r="AE38" i="21" s="1"/>
  <c r="AG38" i="21" s="1"/>
  <c r="F39" i="21"/>
  <c r="AE39" i="21" s="1"/>
  <c r="AG39" i="21" s="1"/>
  <c r="AF46" i="19"/>
  <c r="AG40" i="19"/>
  <c r="AE41" i="19"/>
  <c r="AE42" i="19"/>
  <c r="AE43" i="19"/>
  <c r="AB43" i="19"/>
  <c r="X43" i="19"/>
  <c r="K43" i="19"/>
  <c r="G43" i="19" s="1"/>
  <c r="F43" i="19" s="1"/>
  <c r="AB42" i="19"/>
  <c r="X42" i="19"/>
  <c r="F42" i="19" s="1"/>
  <c r="K42" i="19"/>
  <c r="G42" i="19"/>
  <c r="AB41" i="19"/>
  <c r="X41" i="19" s="1"/>
  <c r="F41" i="19" s="1"/>
  <c r="K41" i="19"/>
  <c r="G41" i="19"/>
  <c r="AB40" i="19"/>
  <c r="X40" i="19"/>
  <c r="K40" i="19"/>
  <c r="G40" i="19"/>
  <c r="F40" i="19" s="1"/>
  <c r="AG40" i="18"/>
  <c r="AE40" i="18"/>
  <c r="AE41" i="18"/>
  <c r="AE42" i="18"/>
  <c r="AE43" i="18"/>
  <c r="AD43" i="18"/>
  <c r="AB43" i="18"/>
  <c r="X43" i="18" s="1"/>
  <c r="F43" i="18" s="1"/>
  <c r="K43" i="18"/>
  <c r="G43" i="18"/>
  <c r="AD42" i="18"/>
  <c r="AB42" i="18"/>
  <c r="X42" i="18"/>
  <c r="K42" i="18"/>
  <c r="G42" i="18" s="1"/>
  <c r="F42" i="18" s="1"/>
  <c r="AD41" i="18"/>
  <c r="AB41" i="18"/>
  <c r="X41" i="18" s="1"/>
  <c r="F41" i="18" s="1"/>
  <c r="K41" i="18"/>
  <c r="G41" i="18"/>
  <c r="AD40" i="18"/>
  <c r="AB40" i="18"/>
  <c r="X40" i="18"/>
  <c r="S40" i="18"/>
  <c r="F40" i="18" s="1"/>
  <c r="K40" i="18"/>
  <c r="G40" i="18"/>
  <c r="AG40" i="17"/>
  <c r="AE40" i="17"/>
  <c r="AE41" i="17"/>
  <c r="AE42" i="17"/>
  <c r="AE43" i="17"/>
  <c r="AF45" i="17"/>
  <c r="AB43" i="17"/>
  <c r="X43" i="17"/>
  <c r="F43" i="17" s="1"/>
  <c r="K43" i="17"/>
  <c r="G43" i="17"/>
  <c r="AB42" i="17"/>
  <c r="X42" i="17"/>
  <c r="K42" i="17"/>
  <c r="G42" i="17"/>
  <c r="F42" i="17" s="1"/>
  <c r="AG45" i="17" s="1"/>
  <c r="AB41" i="17"/>
  <c r="X41" i="17"/>
  <c r="F41" i="17" s="1"/>
  <c r="K41" i="17"/>
  <c r="G41" i="17"/>
  <c r="AD40" i="17"/>
  <c r="AB40" i="17"/>
  <c r="X40" i="17"/>
  <c r="K40" i="17"/>
  <c r="G40" i="17" s="1"/>
  <c r="F40" i="17" s="1"/>
  <c r="AG40" i="21" l="1"/>
  <c r="AG29" i="21"/>
  <c r="AG34" i="21"/>
  <c r="AG11" i="21"/>
  <c r="AB39" i="19"/>
  <c r="X39" i="19"/>
  <c r="K39" i="19"/>
  <c r="G39" i="19" s="1"/>
  <c r="AB38" i="19"/>
  <c r="X38" i="19" s="1"/>
  <c r="K38" i="19"/>
  <c r="G38" i="19" s="1"/>
  <c r="AB37" i="19"/>
  <c r="X37" i="19"/>
  <c r="K37" i="19"/>
  <c r="G37" i="19" s="1"/>
  <c r="AB36" i="19"/>
  <c r="X36" i="19" s="1"/>
  <c r="K36" i="19"/>
  <c r="G36" i="19"/>
  <c r="AB35" i="19"/>
  <c r="X35" i="19"/>
  <c r="K35" i="19"/>
  <c r="G35" i="19" s="1"/>
  <c r="AB34" i="19"/>
  <c r="X34" i="19" s="1"/>
  <c r="K34" i="19"/>
  <c r="G34" i="19"/>
  <c r="AB33" i="19"/>
  <c r="X33" i="19"/>
  <c r="K33" i="19"/>
  <c r="G33" i="19" s="1"/>
  <c r="AB32" i="19"/>
  <c r="X32" i="19" s="1"/>
  <c r="K32" i="19"/>
  <c r="G32" i="19"/>
  <c r="AB31" i="19"/>
  <c r="X31" i="19"/>
  <c r="K31" i="19"/>
  <c r="G31" i="19" s="1"/>
  <c r="AB30" i="19"/>
  <c r="X30" i="19"/>
  <c r="K30" i="19"/>
  <c r="G30" i="19" s="1"/>
  <c r="AB29" i="19"/>
  <c r="X29" i="19"/>
  <c r="K29" i="19"/>
  <c r="G29" i="19" s="1"/>
  <c r="AB28" i="19"/>
  <c r="X28" i="19"/>
  <c r="K28" i="19"/>
  <c r="G28" i="19" s="1"/>
  <c r="AB27" i="19"/>
  <c r="X27" i="19" s="1"/>
  <c r="K27" i="19"/>
  <c r="G27" i="19"/>
  <c r="AF26" i="19"/>
  <c r="AB26" i="19"/>
  <c r="X26" i="19"/>
  <c r="K26" i="19"/>
  <c r="G26" i="19" s="1"/>
  <c r="AB25" i="19"/>
  <c r="X25" i="19"/>
  <c r="K25" i="19"/>
  <c r="G25" i="19" s="1"/>
  <c r="AB24" i="19"/>
  <c r="X24" i="19" s="1"/>
  <c r="K24" i="19"/>
  <c r="G24" i="19"/>
  <c r="AH24" i="19" s="1"/>
  <c r="AB23" i="19"/>
  <c r="X23" i="19"/>
  <c r="K23" i="19"/>
  <c r="G23" i="19" s="1"/>
  <c r="AB22" i="19"/>
  <c r="X22" i="19" s="1"/>
  <c r="R22" i="19"/>
  <c r="L22" i="19"/>
  <c r="K22" i="19"/>
  <c r="G22" i="19" s="1"/>
  <c r="AB21" i="19"/>
  <c r="X21" i="19"/>
  <c r="K21" i="19"/>
  <c r="G21" i="19" s="1"/>
  <c r="AB20" i="19"/>
  <c r="X20" i="19"/>
  <c r="K20" i="19"/>
  <c r="G20" i="19" s="1"/>
  <c r="AB19" i="19"/>
  <c r="X19" i="19" s="1"/>
  <c r="K19" i="19"/>
  <c r="G19" i="19" s="1"/>
  <c r="AB18" i="19"/>
  <c r="X18" i="19" s="1"/>
  <c r="K18" i="19"/>
  <c r="G18" i="19"/>
  <c r="AB17" i="19"/>
  <c r="X17" i="19"/>
  <c r="K17" i="19"/>
  <c r="G17" i="19" s="1"/>
  <c r="AB16" i="19"/>
  <c r="X16" i="19" s="1"/>
  <c r="K16" i="19"/>
  <c r="G16" i="19"/>
  <c r="AH16" i="19" s="1"/>
  <c r="AB15" i="19"/>
  <c r="X15" i="19" s="1"/>
  <c r="K15" i="19"/>
  <c r="G15" i="19" s="1"/>
  <c r="AB14" i="19"/>
  <c r="X14" i="19" s="1"/>
  <c r="K14" i="19"/>
  <c r="G14" i="19"/>
  <c r="AB13" i="19"/>
  <c r="X13" i="19" s="1"/>
  <c r="K13" i="19"/>
  <c r="G13" i="19" s="1"/>
  <c r="AB12" i="19"/>
  <c r="X12" i="19"/>
  <c r="K12" i="19"/>
  <c r="G12" i="19" s="1"/>
  <c r="AD11" i="19"/>
  <c r="AB11" i="19"/>
  <c r="X11" i="19" s="1"/>
  <c r="K11" i="19"/>
  <c r="G11" i="19"/>
  <c r="R10" i="19"/>
  <c r="S10" i="19" s="1"/>
  <c r="T10" i="19" s="1"/>
  <c r="U10" i="19" s="1"/>
  <c r="V10" i="19" s="1"/>
  <c r="W10" i="19" s="1"/>
  <c r="X10" i="19" s="1"/>
  <c r="Y10" i="19" s="1"/>
  <c r="Z10" i="19" s="1"/>
  <c r="AA10" i="19" s="1"/>
  <c r="AB10" i="19" s="1"/>
  <c r="AC10" i="19" s="1"/>
  <c r="AD10" i="19" s="1"/>
  <c r="AF10" i="19" s="1"/>
  <c r="AE10" i="19" s="1"/>
  <c r="Q10" i="19"/>
  <c r="P10" i="19"/>
  <c r="AI46" i="18"/>
  <c r="AF46" i="18"/>
  <c r="AB39" i="18"/>
  <c r="X39" i="18"/>
  <c r="S39" i="18"/>
  <c r="K39" i="18"/>
  <c r="G39" i="18" s="1"/>
  <c r="AB38" i="18"/>
  <c r="X38" i="18"/>
  <c r="R38" i="18"/>
  <c r="K38" i="18"/>
  <c r="G38" i="18" s="1"/>
  <c r="AD37" i="18"/>
  <c r="AB37" i="18"/>
  <c r="X37" i="18" s="1"/>
  <c r="K37" i="18"/>
  <c r="G37" i="18" s="1"/>
  <c r="AB36" i="18"/>
  <c r="X36" i="18"/>
  <c r="M36" i="18"/>
  <c r="K36" i="18"/>
  <c r="G36" i="18" s="1"/>
  <c r="AD35" i="18"/>
  <c r="AB35" i="18"/>
  <c r="X35" i="18" s="1"/>
  <c r="T35" i="18"/>
  <c r="K35" i="18"/>
  <c r="G35" i="18"/>
  <c r="AH35" i="18" s="1"/>
  <c r="AD34" i="18"/>
  <c r="AB34" i="18"/>
  <c r="X34" i="18"/>
  <c r="K34" i="18"/>
  <c r="G34" i="18"/>
  <c r="AH34" i="18" s="1"/>
  <c r="AB33" i="18"/>
  <c r="X33" i="18" s="1"/>
  <c r="S33" i="18"/>
  <c r="K33" i="18"/>
  <c r="G33" i="18"/>
  <c r="F33" i="18" s="1"/>
  <c r="AE33" i="18" s="1"/>
  <c r="AB32" i="18"/>
  <c r="X32" i="18" s="1"/>
  <c r="Q32" i="18"/>
  <c r="K32" i="18"/>
  <c r="G32" i="18"/>
  <c r="AH32" i="18" s="1"/>
  <c r="AD31" i="18"/>
  <c r="AB31" i="18"/>
  <c r="X31" i="18"/>
  <c r="AH31" i="18" s="1"/>
  <c r="K31" i="18"/>
  <c r="G31" i="18"/>
  <c r="F31" i="18" s="1"/>
  <c r="AE31" i="18" s="1"/>
  <c r="AD30" i="18"/>
  <c r="AB30" i="18"/>
  <c r="X30" i="18"/>
  <c r="T30" i="18"/>
  <c r="S30" i="18"/>
  <c r="K30" i="18"/>
  <c r="G30" i="18"/>
  <c r="AH30" i="18" s="1"/>
  <c r="AB29" i="18"/>
  <c r="X29" i="18"/>
  <c r="N29" i="18"/>
  <c r="M29" i="18"/>
  <c r="K29" i="18"/>
  <c r="G29" i="18"/>
  <c r="AH29" i="18" s="1"/>
  <c r="F29" i="18"/>
  <c r="AE29" i="18" s="1"/>
  <c r="AB28" i="18"/>
  <c r="X28" i="18"/>
  <c r="F28" i="18" s="1"/>
  <c r="AE28" i="18" s="1"/>
  <c r="K28" i="18"/>
  <c r="G28" i="18"/>
  <c r="AH28" i="18" s="1"/>
  <c r="AH27" i="18"/>
  <c r="AB27" i="18"/>
  <c r="X27" i="18"/>
  <c r="M27" i="18"/>
  <c r="F27" i="18" s="1"/>
  <c r="AE27" i="18" s="1"/>
  <c r="K27" i="18"/>
  <c r="G27" i="18"/>
  <c r="AD26" i="18"/>
  <c r="AB26" i="18"/>
  <c r="X26" i="18"/>
  <c r="M26" i="18"/>
  <c r="K26" i="18"/>
  <c r="G26" i="18" s="1"/>
  <c r="AB25" i="18"/>
  <c r="X25" i="18"/>
  <c r="Q25" i="18"/>
  <c r="K25" i="18"/>
  <c r="G25" i="18" s="1"/>
  <c r="AB24" i="18"/>
  <c r="X24" i="18"/>
  <c r="Q24" i="18"/>
  <c r="K24" i="18"/>
  <c r="G24" i="18" s="1"/>
  <c r="AB23" i="18"/>
  <c r="X23" i="18"/>
  <c r="M23" i="18"/>
  <c r="N23" i="18" s="1"/>
  <c r="K23" i="18"/>
  <c r="G23" i="18"/>
  <c r="AH23" i="18" s="1"/>
  <c r="AB22" i="18"/>
  <c r="X22" i="18" s="1"/>
  <c r="R22" i="18"/>
  <c r="L22" i="18"/>
  <c r="K22" i="18"/>
  <c r="G22" i="18" s="1"/>
  <c r="AB21" i="18"/>
  <c r="X21" i="18"/>
  <c r="R21" i="18"/>
  <c r="K21" i="18"/>
  <c r="G21" i="18" s="1"/>
  <c r="AB20" i="18"/>
  <c r="X20" i="18"/>
  <c r="M20" i="18"/>
  <c r="K20" i="18"/>
  <c r="G20" i="18" s="1"/>
  <c r="AB19" i="18"/>
  <c r="X19" i="18"/>
  <c r="M19" i="18"/>
  <c r="N19" i="18" s="1"/>
  <c r="K19" i="18"/>
  <c r="G19" i="18"/>
  <c r="AH19" i="18" s="1"/>
  <c r="AB18" i="18"/>
  <c r="X18" i="18" s="1"/>
  <c r="S18" i="18"/>
  <c r="K18" i="18"/>
  <c r="G18" i="18"/>
  <c r="AB17" i="18"/>
  <c r="X17" i="18"/>
  <c r="S17" i="18"/>
  <c r="M17" i="18"/>
  <c r="K17" i="18"/>
  <c r="G17" i="18"/>
  <c r="AH17" i="18" s="1"/>
  <c r="F17" i="18"/>
  <c r="AE17" i="18" s="1"/>
  <c r="AB16" i="18"/>
  <c r="X16" i="18"/>
  <c r="M16" i="18"/>
  <c r="K16" i="18"/>
  <c r="G16" i="18"/>
  <c r="AH16" i="18" s="1"/>
  <c r="F16" i="18"/>
  <c r="AE16" i="18" s="1"/>
  <c r="AB15" i="18"/>
  <c r="X15" i="18"/>
  <c r="Q15" i="18"/>
  <c r="K15" i="18"/>
  <c r="G15" i="18"/>
  <c r="AH15" i="18" s="1"/>
  <c r="F15" i="18"/>
  <c r="AE15" i="18" s="1"/>
  <c r="AD14" i="18"/>
  <c r="AB14" i="18"/>
  <c r="X14" i="18" s="1"/>
  <c r="R14" i="18"/>
  <c r="M14" i="18"/>
  <c r="K14" i="18"/>
  <c r="G14" i="18" s="1"/>
  <c r="AB13" i="18"/>
  <c r="X13" i="18"/>
  <c r="T13" i="18"/>
  <c r="K13" i="18"/>
  <c r="G13" i="18" s="1"/>
  <c r="AB12" i="18"/>
  <c r="X12" i="18"/>
  <c r="F12" i="18" s="1"/>
  <c r="AE12" i="18" s="1"/>
  <c r="K12" i="18"/>
  <c r="G12" i="18"/>
  <c r="AH12" i="18" s="1"/>
  <c r="AB11" i="18"/>
  <c r="X11" i="18" s="1"/>
  <c r="T11" i="18"/>
  <c r="M11" i="18"/>
  <c r="K11" i="18"/>
  <c r="G11" i="18" s="1"/>
  <c r="P10" i="18"/>
  <c r="Q10" i="18" s="1"/>
  <c r="R10" i="18" s="1"/>
  <c r="S10" i="18" s="1"/>
  <c r="T10" i="18" s="1"/>
  <c r="U10" i="18" s="1"/>
  <c r="V10" i="18" s="1"/>
  <c r="W10" i="18" s="1"/>
  <c r="X10" i="18" s="1"/>
  <c r="Y10" i="18" s="1"/>
  <c r="Z10" i="18" s="1"/>
  <c r="AA10" i="18" s="1"/>
  <c r="AB10" i="18" s="1"/>
  <c r="AC10" i="18" s="1"/>
  <c r="AD10" i="18" s="1"/>
  <c r="AF10" i="18" s="1"/>
  <c r="AE10" i="18" s="1"/>
  <c r="AJ41" i="17"/>
  <c r="AL41" i="17" s="1"/>
  <c r="AB39" i="17"/>
  <c r="X39" i="17"/>
  <c r="S39" i="17"/>
  <c r="K39" i="17"/>
  <c r="G39" i="17" s="1"/>
  <c r="AB38" i="17"/>
  <c r="X38" i="17"/>
  <c r="R38" i="17"/>
  <c r="K38" i="17"/>
  <c r="G38" i="17" s="1"/>
  <c r="AB37" i="17"/>
  <c r="X37" i="17"/>
  <c r="K37" i="17"/>
  <c r="G37" i="17"/>
  <c r="AH37" i="17" s="1"/>
  <c r="AB36" i="17"/>
  <c r="X36" i="17" s="1"/>
  <c r="M36" i="17"/>
  <c r="K36" i="17"/>
  <c r="G36" i="17"/>
  <c r="AH36" i="17" s="1"/>
  <c r="AB35" i="17"/>
  <c r="X35" i="17" s="1"/>
  <c r="AH35" i="17" s="1"/>
  <c r="T35" i="17"/>
  <c r="K35" i="17"/>
  <c r="G35" i="17"/>
  <c r="F35" i="17" s="1"/>
  <c r="AE35" i="17" s="1"/>
  <c r="AD34" i="17"/>
  <c r="AB34" i="17"/>
  <c r="X34" i="17"/>
  <c r="K34" i="17"/>
  <c r="G34" i="17"/>
  <c r="AH34" i="17" s="1"/>
  <c r="AB33" i="17"/>
  <c r="X33" i="17" s="1"/>
  <c r="T33" i="17"/>
  <c r="K33" i="17"/>
  <c r="G33" i="17"/>
  <c r="AB32" i="17"/>
  <c r="X32" i="17" s="1"/>
  <c r="Q32" i="17"/>
  <c r="K32" i="17"/>
  <c r="G32" i="17"/>
  <c r="AD31" i="17"/>
  <c r="AB31" i="17"/>
  <c r="X31" i="17"/>
  <c r="AH31" i="17" s="1"/>
  <c r="K31" i="17"/>
  <c r="G31" i="17"/>
  <c r="F31" i="17" s="1"/>
  <c r="AE31" i="17" s="1"/>
  <c r="AD30" i="17"/>
  <c r="AB30" i="17"/>
  <c r="X30" i="17"/>
  <c r="S30" i="17"/>
  <c r="K30" i="17"/>
  <c r="G30" i="17" s="1"/>
  <c r="AB29" i="17"/>
  <c r="X29" i="17"/>
  <c r="M29" i="17"/>
  <c r="K29" i="17"/>
  <c r="G29" i="17" s="1"/>
  <c r="AB28" i="17"/>
  <c r="X28" i="17"/>
  <c r="K28" i="17"/>
  <c r="G28" i="17"/>
  <c r="AH28" i="17" s="1"/>
  <c r="AB27" i="17"/>
  <c r="X27" i="17" s="1"/>
  <c r="M27" i="17"/>
  <c r="K27" i="17"/>
  <c r="G27" i="17"/>
  <c r="F27" i="17" s="1"/>
  <c r="AE27" i="17" s="1"/>
  <c r="AD26" i="17"/>
  <c r="AB26" i="17"/>
  <c r="X26" i="17"/>
  <c r="S26" i="17"/>
  <c r="K26" i="17"/>
  <c r="G26" i="17" s="1"/>
  <c r="AB25" i="17"/>
  <c r="X25" i="17"/>
  <c r="Q25" i="17"/>
  <c r="K25" i="17"/>
  <c r="G25" i="17" s="1"/>
  <c r="AB24" i="17"/>
  <c r="X24" i="17"/>
  <c r="Q24" i="17"/>
  <c r="K24" i="17"/>
  <c r="G24" i="17" s="1"/>
  <c r="AB23" i="17"/>
  <c r="X23" i="17"/>
  <c r="M23" i="17"/>
  <c r="N23" i="17" s="1"/>
  <c r="K23" i="17"/>
  <c r="G23" i="17"/>
  <c r="F23" i="17" s="1"/>
  <c r="AE23" i="17" s="1"/>
  <c r="AB22" i="17"/>
  <c r="X22" i="17" s="1"/>
  <c r="R22" i="17"/>
  <c r="L22" i="17"/>
  <c r="K22" i="17"/>
  <c r="G22" i="17" s="1"/>
  <c r="AB21" i="17"/>
  <c r="X21" i="17"/>
  <c r="R21" i="17"/>
  <c r="M21" i="17"/>
  <c r="K21" i="17"/>
  <c r="G21" i="17"/>
  <c r="AH21" i="17" s="1"/>
  <c r="AB20" i="17"/>
  <c r="X20" i="17" s="1"/>
  <c r="M20" i="17"/>
  <c r="K20" i="17"/>
  <c r="G20" i="17"/>
  <c r="AH20" i="17" s="1"/>
  <c r="AB19" i="17"/>
  <c r="X19" i="17" s="1"/>
  <c r="N19" i="17"/>
  <c r="M19" i="17"/>
  <c r="K19" i="17"/>
  <c r="G19" i="17" s="1"/>
  <c r="AB18" i="17"/>
  <c r="X18" i="17"/>
  <c r="S18" i="17"/>
  <c r="K18" i="17"/>
  <c r="G18" i="17" s="1"/>
  <c r="AB17" i="17"/>
  <c r="X17" i="17"/>
  <c r="S17" i="17"/>
  <c r="M17" i="17"/>
  <c r="K17" i="17"/>
  <c r="G17" i="17"/>
  <c r="F17" i="17" s="1"/>
  <c r="AE17" i="17" s="1"/>
  <c r="AB16" i="17"/>
  <c r="X16" i="17" s="1"/>
  <c r="AH16" i="17" s="1"/>
  <c r="M16" i="17"/>
  <c r="K16" i="17"/>
  <c r="G16" i="17"/>
  <c r="AB15" i="17"/>
  <c r="X15" i="17" s="1"/>
  <c r="AH15" i="17" s="1"/>
  <c r="W15" i="17"/>
  <c r="K15" i="17"/>
  <c r="G15" i="17"/>
  <c r="F15" i="17" s="1"/>
  <c r="AE15" i="17" s="1"/>
  <c r="AB14" i="17"/>
  <c r="X14" i="17" s="1"/>
  <c r="S14" i="17"/>
  <c r="R14" i="17"/>
  <c r="M14" i="17"/>
  <c r="K14" i="17"/>
  <c r="G14" i="17"/>
  <c r="F14" i="17" s="1"/>
  <c r="AE14" i="17" s="1"/>
  <c r="AB13" i="17"/>
  <c r="X13" i="17" s="1"/>
  <c r="T13" i="17"/>
  <c r="Q13" i="17"/>
  <c r="K13" i="17"/>
  <c r="G13" i="17" s="1"/>
  <c r="AB12" i="17"/>
  <c r="X12" i="17"/>
  <c r="K12" i="17"/>
  <c r="G12" i="17"/>
  <c r="F12" i="17" s="1"/>
  <c r="AE12" i="17" s="1"/>
  <c r="AB11" i="17"/>
  <c r="X11" i="17" s="1"/>
  <c r="T11" i="17"/>
  <c r="R11" i="17"/>
  <c r="K11" i="17"/>
  <c r="G11" i="17" s="1"/>
  <c r="AE45" i="4"/>
  <c r="AF45" i="4"/>
  <c r="F29" i="19" l="1"/>
  <c r="AE29" i="19" s="1"/>
  <c r="AH29" i="19"/>
  <c r="F37" i="19"/>
  <c r="AE37" i="19" s="1"/>
  <c r="AH37" i="19"/>
  <c r="AH13" i="19"/>
  <c r="F13" i="19"/>
  <c r="AE13" i="19" s="1"/>
  <c r="F19" i="19"/>
  <c r="AE19" i="19" s="1"/>
  <c r="AH19" i="19"/>
  <c r="AH22" i="19"/>
  <c r="F22" i="19"/>
  <c r="AE22" i="19" s="1"/>
  <c r="F23" i="19"/>
  <c r="AE23" i="19" s="1"/>
  <c r="AH23" i="19"/>
  <c r="F28" i="19"/>
  <c r="AE28" i="19" s="1"/>
  <c r="AH28" i="19"/>
  <c r="F34" i="19"/>
  <c r="AE34" i="19" s="1"/>
  <c r="AH34" i="19"/>
  <c r="AH39" i="19"/>
  <c r="F39" i="19"/>
  <c r="AE39" i="19" s="1"/>
  <c r="AG39" i="19" s="1"/>
  <c r="AK39" i="19" s="1"/>
  <c r="AE40" i="19"/>
  <c r="AH40" i="19"/>
  <c r="AH11" i="19"/>
  <c r="F12" i="19"/>
  <c r="AE12" i="19" s="1"/>
  <c r="AH12" i="19"/>
  <c r="AH15" i="19"/>
  <c r="F15" i="19"/>
  <c r="AE15" i="19" s="1"/>
  <c r="AH18" i="19"/>
  <c r="F21" i="19"/>
  <c r="AE21" i="19" s="1"/>
  <c r="AH21" i="19"/>
  <c r="AH26" i="19"/>
  <c r="F26" i="19"/>
  <c r="AE26" i="19" s="1"/>
  <c r="AG26" i="19" s="1"/>
  <c r="AK26" i="19" s="1"/>
  <c r="AH27" i="19"/>
  <c r="F31" i="19"/>
  <c r="AE31" i="19" s="1"/>
  <c r="AH31" i="19"/>
  <c r="F35" i="19"/>
  <c r="AE35" i="19" s="1"/>
  <c r="AH35" i="19"/>
  <c r="AH41" i="19"/>
  <c r="AJ41" i="19"/>
  <c r="AK41" i="19" s="1"/>
  <c r="F33" i="19"/>
  <c r="AE33" i="19" s="1"/>
  <c r="AH33" i="19"/>
  <c r="AH14" i="19"/>
  <c r="F17" i="19"/>
  <c r="AE17" i="19" s="1"/>
  <c r="AH17" i="19"/>
  <c r="F20" i="19"/>
  <c r="AE20" i="19" s="1"/>
  <c r="AH20" i="19"/>
  <c r="F25" i="19"/>
  <c r="AE25" i="19" s="1"/>
  <c r="AH25" i="19"/>
  <c r="F30" i="19"/>
  <c r="AE30" i="19" s="1"/>
  <c r="AH30" i="19"/>
  <c r="F32" i="19"/>
  <c r="AE32" i="19" s="1"/>
  <c r="AH32" i="19"/>
  <c r="F36" i="19"/>
  <c r="AE36" i="19" s="1"/>
  <c r="AG36" i="19" s="1"/>
  <c r="AK36" i="19" s="1"/>
  <c r="AH36" i="19"/>
  <c r="F38" i="19"/>
  <c r="AE38" i="19" s="1"/>
  <c r="AG38" i="19" s="1"/>
  <c r="AK38" i="19" s="1"/>
  <c r="AH38" i="19"/>
  <c r="F11" i="19"/>
  <c r="AE11" i="19" s="1"/>
  <c r="F14" i="19"/>
  <c r="AE14" i="19" s="1"/>
  <c r="AG14" i="19" s="1"/>
  <c r="AK14" i="19" s="1"/>
  <c r="F16" i="19"/>
  <c r="AE16" i="19" s="1"/>
  <c r="F18" i="19"/>
  <c r="AE18" i="19" s="1"/>
  <c r="F24" i="19"/>
  <c r="AE24" i="19" s="1"/>
  <c r="F27" i="19"/>
  <c r="AE27" i="19" s="1"/>
  <c r="F21" i="18"/>
  <c r="AE21" i="18" s="1"/>
  <c r="AH21" i="18"/>
  <c r="AH22" i="18"/>
  <c r="F22" i="18"/>
  <c r="AE22" i="18" s="1"/>
  <c r="AH38" i="18"/>
  <c r="F38" i="18"/>
  <c r="AE38" i="18" s="1"/>
  <c r="AG38" i="18" s="1"/>
  <c r="AK38" i="18" s="1"/>
  <c r="AH39" i="18"/>
  <c r="F39" i="18"/>
  <c r="AE39" i="18" s="1"/>
  <c r="AG39" i="18" s="1"/>
  <c r="AK39" i="18" s="1"/>
  <c r="AJ40" i="18"/>
  <c r="AK40" i="18" s="1"/>
  <c r="AH20" i="18"/>
  <c r="F20" i="18"/>
  <c r="AE20" i="18" s="1"/>
  <c r="AG20" i="18" s="1"/>
  <c r="AK20" i="18" s="1"/>
  <c r="F24" i="18"/>
  <c r="AE24" i="18" s="1"/>
  <c r="AH24" i="18"/>
  <c r="F25" i="18"/>
  <c r="AE25" i="18" s="1"/>
  <c r="AH25" i="18"/>
  <c r="AH26" i="18"/>
  <c r="F26" i="18"/>
  <c r="AE26" i="18" s="1"/>
  <c r="AG26" i="18" s="1"/>
  <c r="AK26" i="18" s="1"/>
  <c r="AH36" i="18"/>
  <c r="F36" i="18"/>
  <c r="AE36" i="18" s="1"/>
  <c r="F37" i="18"/>
  <c r="AE37" i="18" s="1"/>
  <c r="AH37" i="18"/>
  <c r="AH11" i="18"/>
  <c r="F11" i="18"/>
  <c r="AE11" i="18" s="1"/>
  <c r="F13" i="18"/>
  <c r="AE13" i="18" s="1"/>
  <c r="AH13" i="18"/>
  <c r="F14" i="18"/>
  <c r="AE14" i="18" s="1"/>
  <c r="AG14" i="18" s="1"/>
  <c r="AK14" i="18" s="1"/>
  <c r="AH14" i="18"/>
  <c r="F18" i="18"/>
  <c r="AE18" i="18" s="1"/>
  <c r="AG17" i="18" s="1"/>
  <c r="AK17" i="18" s="1"/>
  <c r="AJ41" i="18"/>
  <c r="AK41" i="18" s="1"/>
  <c r="F32" i="18"/>
  <c r="AE32" i="18" s="1"/>
  <c r="AG32" i="18" s="1"/>
  <c r="AK32" i="18" s="1"/>
  <c r="F35" i="18"/>
  <c r="AE35" i="18" s="1"/>
  <c r="AH18" i="18"/>
  <c r="AH33" i="18"/>
  <c r="F19" i="18"/>
  <c r="AE19" i="18" s="1"/>
  <c r="F23" i="18"/>
  <c r="AE23" i="18" s="1"/>
  <c r="AG23" i="18" s="1"/>
  <c r="AK23" i="18" s="1"/>
  <c r="F30" i="18"/>
  <c r="AE30" i="18" s="1"/>
  <c r="AG29" i="18" s="1"/>
  <c r="AK29" i="18" s="1"/>
  <c r="F34" i="18"/>
  <c r="AE34" i="18" s="1"/>
  <c r="AH30" i="17"/>
  <c r="F30" i="17"/>
  <c r="AE30" i="17" s="1"/>
  <c r="AH40" i="17"/>
  <c r="F19" i="17"/>
  <c r="AE19" i="17" s="1"/>
  <c r="AH19" i="17"/>
  <c r="AG17" i="17"/>
  <c r="AK17" i="17" s="1"/>
  <c r="AH22" i="17"/>
  <c r="F22" i="17"/>
  <c r="AE22" i="17" s="1"/>
  <c r="AH32" i="17"/>
  <c r="F33" i="17"/>
  <c r="AE33" i="17" s="1"/>
  <c r="AH11" i="17"/>
  <c r="F11" i="17"/>
  <c r="AE11" i="17" s="1"/>
  <c r="AH13" i="17"/>
  <c r="F13" i="17"/>
  <c r="AE13" i="17" s="1"/>
  <c r="AH18" i="17"/>
  <c r="F18" i="17"/>
  <c r="AE18" i="17" s="1"/>
  <c r="AH29" i="17"/>
  <c r="F29" i="17"/>
  <c r="AE29" i="17" s="1"/>
  <c r="AG29" i="17" s="1"/>
  <c r="AK29" i="17" s="1"/>
  <c r="F16" i="17"/>
  <c r="AE16" i="17" s="1"/>
  <c r="AG14" i="17" s="1"/>
  <c r="AK14" i="17" s="1"/>
  <c r="F24" i="17"/>
  <c r="AE24" i="17" s="1"/>
  <c r="AG23" i="17" s="1"/>
  <c r="AK23" i="17" s="1"/>
  <c r="AH24" i="17"/>
  <c r="F25" i="17"/>
  <c r="AE25" i="17" s="1"/>
  <c r="AH25" i="17"/>
  <c r="AH26" i="17"/>
  <c r="F26" i="17"/>
  <c r="AE26" i="17" s="1"/>
  <c r="AG26" i="17" s="1"/>
  <c r="AK26" i="17" s="1"/>
  <c r="AH38" i="17"/>
  <c r="F38" i="17"/>
  <c r="AE38" i="17" s="1"/>
  <c r="AG38" i="17" s="1"/>
  <c r="AK38" i="17" s="1"/>
  <c r="AH39" i="17"/>
  <c r="F39" i="17"/>
  <c r="AE39" i="17" s="1"/>
  <c r="AG39" i="17" s="1"/>
  <c r="AK39" i="17" s="1"/>
  <c r="AH41" i="17"/>
  <c r="AH17" i="17"/>
  <c r="AH23" i="17"/>
  <c r="AH27" i="17"/>
  <c r="AH33" i="17"/>
  <c r="AH12" i="17"/>
  <c r="AH14" i="17"/>
  <c r="F21" i="17"/>
  <c r="AE21" i="17" s="1"/>
  <c r="F28" i="17"/>
  <c r="AE28" i="17" s="1"/>
  <c r="F34" i="17"/>
  <c r="AE34" i="17" s="1"/>
  <c r="AG34" i="17" s="1"/>
  <c r="AK34" i="17" s="1"/>
  <c r="F37" i="17"/>
  <c r="AE37" i="17" s="1"/>
  <c r="F20" i="17"/>
  <c r="AE20" i="17" s="1"/>
  <c r="AG20" i="17" s="1"/>
  <c r="AK20" i="17" s="1"/>
  <c r="F32" i="17"/>
  <c r="AE32" i="17" s="1"/>
  <c r="AG32" i="17" s="1"/>
  <c r="AK32" i="17" s="1"/>
  <c r="F36" i="17"/>
  <c r="AE36" i="17" s="1"/>
  <c r="AG36" i="17" s="1"/>
  <c r="AK36" i="17" s="1"/>
  <c r="AG11" i="19" l="1"/>
  <c r="AE46" i="19"/>
  <c r="AG20" i="19"/>
  <c r="AK20" i="19" s="1"/>
  <c r="AJ40" i="19"/>
  <c r="AK40" i="19" s="1"/>
  <c r="AG34" i="19"/>
  <c r="AK34" i="19" s="1"/>
  <c r="AG23" i="19"/>
  <c r="AK23" i="19" s="1"/>
  <c r="AG32" i="19"/>
  <c r="AK32" i="19" s="1"/>
  <c r="AG17" i="19"/>
  <c r="AK17" i="19" s="1"/>
  <c r="AH46" i="19"/>
  <c r="AH48" i="19" s="1"/>
  <c r="AG29" i="19"/>
  <c r="AK29" i="19" s="1"/>
  <c r="AE46" i="18"/>
  <c r="AG36" i="18"/>
  <c r="AK36" i="18" s="1"/>
  <c r="AG34" i="18"/>
  <c r="AK34" i="18" s="1"/>
  <c r="AH46" i="18"/>
  <c r="AH48" i="18" s="1"/>
  <c r="AK40" i="17"/>
  <c r="AJ40" i="17"/>
  <c r="AL40" i="17" s="1"/>
  <c r="AE45" i="17"/>
  <c r="AG11" i="17"/>
  <c r="AH45" i="17"/>
  <c r="AH47" i="17" s="1"/>
  <c r="AK11" i="19" l="1"/>
  <c r="AG46" i="19"/>
  <c r="AG48" i="19" s="1"/>
  <c r="AG46" i="18"/>
  <c r="AG48" i="18" s="1"/>
  <c r="AK11" i="18"/>
  <c r="AK11" i="17"/>
  <c r="AG47" i="17"/>
  <c r="AJ41" i="6" l="1"/>
  <c r="AK41" i="6" s="1"/>
  <c r="AJ40" i="6"/>
  <c r="AK40" i="6" s="1"/>
  <c r="AK39" i="6"/>
  <c r="AK38" i="6"/>
  <c r="AK36" i="6"/>
  <c r="AK34" i="6"/>
  <c r="AK32" i="6"/>
  <c r="AK29" i="6"/>
  <c r="AK26" i="6"/>
  <c r="AK23" i="6"/>
  <c r="AK20" i="6"/>
  <c r="AK17" i="6"/>
  <c r="AK14" i="6"/>
  <c r="AK11" i="6"/>
  <c r="AJ41" i="5"/>
  <c r="AJ40" i="5"/>
  <c r="AK41" i="5"/>
  <c r="AK40" i="5"/>
  <c r="AK39" i="5"/>
  <c r="AK38" i="5"/>
  <c r="AK36" i="5"/>
  <c r="AK34" i="5"/>
  <c r="AK32" i="5"/>
  <c r="AK29" i="5"/>
  <c r="AK26" i="5"/>
  <c r="AK23" i="5"/>
  <c r="AK20" i="5"/>
  <c r="AK17" i="5"/>
  <c r="AK14" i="5"/>
  <c r="AK11" i="5"/>
  <c r="AL41" i="4"/>
  <c r="AL40" i="4"/>
  <c r="AJ41" i="4"/>
  <c r="AJ40" i="4"/>
  <c r="AK40" i="4"/>
  <c r="AK39" i="4"/>
  <c r="AK38" i="4"/>
  <c r="AK36" i="4"/>
  <c r="AK34" i="4"/>
  <c r="AK32" i="4"/>
  <c r="AK29" i="4"/>
  <c r="AK26" i="4"/>
  <c r="AK23" i="4"/>
  <c r="AK20" i="4"/>
  <c r="AK17" i="4"/>
  <c r="AK14" i="4"/>
  <c r="AK11" i="4"/>
  <c r="AH40" i="4" l="1"/>
  <c r="AG40" i="4"/>
  <c r="AH44" i="6" l="1"/>
  <c r="AG44" i="6"/>
  <c r="AI42" i="5"/>
  <c r="AH47" i="4"/>
  <c r="AG47" i="4"/>
  <c r="R22" i="6" l="1"/>
  <c r="L22" i="6"/>
  <c r="AF42" i="6"/>
  <c r="AB41" i="6"/>
  <c r="X41" i="6" s="1"/>
  <c r="K41" i="6"/>
  <c r="G41" i="6" s="1"/>
  <c r="AB40" i="6"/>
  <c r="X40" i="6" s="1"/>
  <c r="K40" i="6"/>
  <c r="G40" i="6" s="1"/>
  <c r="AH40" i="6" s="1"/>
  <c r="AB39" i="6"/>
  <c r="X39" i="6" s="1"/>
  <c r="K39" i="6"/>
  <c r="G39" i="6" s="1"/>
  <c r="AH39" i="6" s="1"/>
  <c r="AB38" i="6"/>
  <c r="X38" i="6" s="1"/>
  <c r="K38" i="6"/>
  <c r="G38" i="6" s="1"/>
  <c r="AB37" i="6"/>
  <c r="X37" i="6" s="1"/>
  <c r="K37" i="6"/>
  <c r="G37" i="6" s="1"/>
  <c r="AH37" i="6" s="1"/>
  <c r="AB36" i="6"/>
  <c r="X36" i="6" s="1"/>
  <c r="K36" i="6"/>
  <c r="G36" i="6" s="1"/>
  <c r="AB35" i="6"/>
  <c r="X35" i="6" s="1"/>
  <c r="K35" i="6"/>
  <c r="G35" i="6" s="1"/>
  <c r="AB34" i="6"/>
  <c r="X34" i="6" s="1"/>
  <c r="K34" i="6"/>
  <c r="G34" i="6" s="1"/>
  <c r="AB33" i="6"/>
  <c r="X33" i="6" s="1"/>
  <c r="K33" i="6"/>
  <c r="G33" i="6" s="1"/>
  <c r="AH33" i="6" s="1"/>
  <c r="AB32" i="6"/>
  <c r="X32" i="6" s="1"/>
  <c r="K32" i="6"/>
  <c r="G32" i="6" s="1"/>
  <c r="AH32" i="6" s="1"/>
  <c r="AB31" i="6"/>
  <c r="X31" i="6" s="1"/>
  <c r="K31" i="6"/>
  <c r="G31" i="6" s="1"/>
  <c r="AH31" i="6" s="1"/>
  <c r="AB30" i="6"/>
  <c r="X30" i="6" s="1"/>
  <c r="K30" i="6"/>
  <c r="G30" i="6" s="1"/>
  <c r="AB29" i="6"/>
  <c r="X29" i="6" s="1"/>
  <c r="K29" i="6"/>
  <c r="G29" i="6" s="1"/>
  <c r="AH29" i="6" s="1"/>
  <c r="AB28" i="6"/>
  <c r="X28" i="6" s="1"/>
  <c r="K28" i="6"/>
  <c r="G28" i="6" s="1"/>
  <c r="AH28" i="6" s="1"/>
  <c r="AB27" i="6"/>
  <c r="X27" i="6"/>
  <c r="K27" i="6"/>
  <c r="G27" i="6" s="1"/>
  <c r="AF26" i="6"/>
  <c r="AB26" i="6"/>
  <c r="X26" i="6" s="1"/>
  <c r="K26" i="6"/>
  <c r="G26" i="6" s="1"/>
  <c r="AB25" i="6"/>
  <c r="X25" i="6" s="1"/>
  <c r="K25" i="6"/>
  <c r="G25" i="6" s="1"/>
  <c r="AH25" i="6" s="1"/>
  <c r="AB24" i="6"/>
  <c r="X24" i="6" s="1"/>
  <c r="K24" i="6"/>
  <c r="G24" i="6" s="1"/>
  <c r="AB23" i="6"/>
  <c r="X23" i="6" s="1"/>
  <c r="K23" i="6"/>
  <c r="G23" i="6" s="1"/>
  <c r="AH23" i="6" s="1"/>
  <c r="AB22" i="6"/>
  <c r="X22" i="6" s="1"/>
  <c r="K22" i="6"/>
  <c r="G22" i="6" s="1"/>
  <c r="AB21" i="6"/>
  <c r="X21" i="6" s="1"/>
  <c r="K21" i="6"/>
  <c r="G21" i="6" s="1"/>
  <c r="AH21" i="6" s="1"/>
  <c r="AB20" i="6"/>
  <c r="X20" i="6" s="1"/>
  <c r="K20" i="6"/>
  <c r="G20" i="6" s="1"/>
  <c r="AB19" i="6"/>
  <c r="X19" i="6" s="1"/>
  <c r="K19" i="6"/>
  <c r="G19" i="6" s="1"/>
  <c r="AB18" i="6"/>
  <c r="X18" i="6" s="1"/>
  <c r="K18" i="6"/>
  <c r="G18" i="6" s="1"/>
  <c r="AH18" i="6" s="1"/>
  <c r="AB17" i="6"/>
  <c r="X17" i="6" s="1"/>
  <c r="K17" i="6"/>
  <c r="G17" i="6" s="1"/>
  <c r="AB16" i="6"/>
  <c r="X16" i="6" s="1"/>
  <c r="K16" i="6"/>
  <c r="G16" i="6" s="1"/>
  <c r="AB15" i="6"/>
  <c r="X15" i="6" s="1"/>
  <c r="K15" i="6"/>
  <c r="G15" i="6" s="1"/>
  <c r="AH15" i="6" s="1"/>
  <c r="AB14" i="6"/>
  <c r="X14" i="6" s="1"/>
  <c r="K14" i="6"/>
  <c r="G14" i="6" s="1"/>
  <c r="AH14" i="6" s="1"/>
  <c r="AB13" i="6"/>
  <c r="X13" i="6" s="1"/>
  <c r="K13" i="6"/>
  <c r="G13" i="6" s="1"/>
  <c r="AB12" i="6"/>
  <c r="X12" i="6"/>
  <c r="K12" i="6"/>
  <c r="G12" i="6" s="1"/>
  <c r="AD11" i="6"/>
  <c r="AB11" i="6"/>
  <c r="X11" i="6" s="1"/>
  <c r="K11" i="6"/>
  <c r="P10" i="6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F10" i="6" s="1"/>
  <c r="AE10" i="6" s="1"/>
  <c r="R22" i="5"/>
  <c r="L22" i="5"/>
  <c r="AF42" i="5"/>
  <c r="AD41" i="5"/>
  <c r="AB41" i="5"/>
  <c r="X41" i="5" s="1"/>
  <c r="K41" i="5"/>
  <c r="G41" i="5" s="1"/>
  <c r="AH41" i="5" s="1"/>
  <c r="AD40" i="5"/>
  <c r="AB40" i="5"/>
  <c r="X40" i="5" s="1"/>
  <c r="S40" i="5"/>
  <c r="K40" i="5"/>
  <c r="G40" i="5" s="1"/>
  <c r="AH40" i="5" s="1"/>
  <c r="AB39" i="5"/>
  <c r="X39" i="5" s="1"/>
  <c r="S39" i="5"/>
  <c r="K39" i="5"/>
  <c r="G39" i="5" s="1"/>
  <c r="AB38" i="5"/>
  <c r="X38" i="5" s="1"/>
  <c r="R38" i="5"/>
  <c r="K38" i="5"/>
  <c r="G38" i="5" s="1"/>
  <c r="AH38" i="5" s="1"/>
  <c r="AD37" i="5"/>
  <c r="AB37" i="5"/>
  <c r="X37" i="5" s="1"/>
  <c r="K37" i="5"/>
  <c r="G37" i="5" s="1"/>
  <c r="AB36" i="5"/>
  <c r="X36" i="5" s="1"/>
  <c r="M36" i="5"/>
  <c r="K36" i="5"/>
  <c r="G36" i="5" s="1"/>
  <c r="AH36" i="5" s="1"/>
  <c r="AD35" i="5"/>
  <c r="AB35" i="5"/>
  <c r="X35" i="5" s="1"/>
  <c r="T35" i="5"/>
  <c r="K35" i="5"/>
  <c r="G35" i="5" s="1"/>
  <c r="AD34" i="5"/>
  <c r="AB34" i="5"/>
  <c r="X34" i="5" s="1"/>
  <c r="K34" i="5"/>
  <c r="G34" i="5" s="1"/>
  <c r="AB33" i="5"/>
  <c r="X33" i="5" s="1"/>
  <c r="S33" i="5"/>
  <c r="K33" i="5"/>
  <c r="G33" i="5" s="1"/>
  <c r="AB32" i="5"/>
  <c r="X32" i="5" s="1"/>
  <c r="Q32" i="5"/>
  <c r="K32" i="5"/>
  <c r="G32" i="5" s="1"/>
  <c r="AH32" i="5" s="1"/>
  <c r="AD31" i="5"/>
  <c r="AB31" i="5"/>
  <c r="X31" i="5" s="1"/>
  <c r="K31" i="5"/>
  <c r="G31" i="5" s="1"/>
  <c r="AH31" i="5" s="1"/>
  <c r="AD30" i="5"/>
  <c r="AB30" i="5"/>
  <c r="X30" i="5" s="1"/>
  <c r="T30" i="5"/>
  <c r="S30" i="5"/>
  <c r="K30" i="5"/>
  <c r="G30" i="5" s="1"/>
  <c r="AB29" i="5"/>
  <c r="X29" i="5" s="1"/>
  <c r="M29" i="5"/>
  <c r="N29" i="5" s="1"/>
  <c r="K29" i="5"/>
  <c r="G29" i="5" s="1"/>
  <c r="AB28" i="5"/>
  <c r="X28" i="5" s="1"/>
  <c r="K28" i="5"/>
  <c r="G28" i="5" s="1"/>
  <c r="AH28" i="5" s="1"/>
  <c r="AB27" i="5"/>
  <c r="X27" i="5" s="1"/>
  <c r="M27" i="5"/>
  <c r="K27" i="5"/>
  <c r="G27" i="5" s="1"/>
  <c r="AD26" i="5"/>
  <c r="AB26" i="5"/>
  <c r="X26" i="5" s="1"/>
  <c r="M26" i="5"/>
  <c r="K26" i="5"/>
  <c r="G26" i="5" s="1"/>
  <c r="AB25" i="5"/>
  <c r="X25" i="5" s="1"/>
  <c r="Q25" i="5"/>
  <c r="K25" i="5"/>
  <c r="G25" i="5" s="1"/>
  <c r="AB24" i="5"/>
  <c r="X24" i="5" s="1"/>
  <c r="Q24" i="5"/>
  <c r="K24" i="5"/>
  <c r="G24" i="5" s="1"/>
  <c r="AB23" i="5"/>
  <c r="X23" i="5" s="1"/>
  <c r="M23" i="5"/>
  <c r="N23" i="5" s="1"/>
  <c r="K23" i="5"/>
  <c r="G23" i="5" s="1"/>
  <c r="AB22" i="5"/>
  <c r="X22" i="5" s="1"/>
  <c r="K22" i="5"/>
  <c r="AB21" i="5"/>
  <c r="X21" i="5" s="1"/>
  <c r="R21" i="5"/>
  <c r="K21" i="5"/>
  <c r="G21" i="5" s="1"/>
  <c r="AB20" i="5"/>
  <c r="X20" i="5" s="1"/>
  <c r="M20" i="5"/>
  <c r="K20" i="5"/>
  <c r="G20" i="5" s="1"/>
  <c r="AH20" i="5" s="1"/>
  <c r="AB19" i="5"/>
  <c r="X19" i="5" s="1"/>
  <c r="M19" i="5"/>
  <c r="N19" i="5" s="1"/>
  <c r="K19" i="5"/>
  <c r="G19" i="5" s="1"/>
  <c r="AH19" i="5" s="1"/>
  <c r="AB18" i="5"/>
  <c r="X18" i="5" s="1"/>
  <c r="S18" i="5"/>
  <c r="K18" i="5"/>
  <c r="G18" i="5" s="1"/>
  <c r="AB17" i="5"/>
  <c r="X17" i="5" s="1"/>
  <c r="S17" i="5"/>
  <c r="M17" i="5"/>
  <c r="K17" i="5"/>
  <c r="G17" i="5" s="1"/>
  <c r="AH17" i="5" s="1"/>
  <c r="AB16" i="5"/>
  <c r="X16" i="5" s="1"/>
  <c r="M16" i="5"/>
  <c r="K16" i="5"/>
  <c r="G16" i="5" s="1"/>
  <c r="AB15" i="5"/>
  <c r="X15" i="5"/>
  <c r="Q15" i="5"/>
  <c r="K15" i="5"/>
  <c r="G15" i="5" s="1"/>
  <c r="AH15" i="5" s="1"/>
  <c r="AD14" i="5"/>
  <c r="AB14" i="5"/>
  <c r="X14" i="5" s="1"/>
  <c r="R14" i="5"/>
  <c r="M14" i="5"/>
  <c r="K14" i="5"/>
  <c r="G14" i="5" s="1"/>
  <c r="AH14" i="5" s="1"/>
  <c r="AB13" i="5"/>
  <c r="X13" i="5" s="1"/>
  <c r="T13" i="5"/>
  <c r="K13" i="5"/>
  <c r="G13" i="5" s="1"/>
  <c r="AB12" i="5"/>
  <c r="X12" i="5" s="1"/>
  <c r="K12" i="5"/>
  <c r="G12" i="5" s="1"/>
  <c r="AH12" i="5" s="1"/>
  <c r="AB11" i="5"/>
  <c r="X11" i="5" s="1"/>
  <c r="T11" i="5"/>
  <c r="M11" i="5"/>
  <c r="K11" i="5"/>
  <c r="P10" i="5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F10" i="5" s="1"/>
  <c r="AE10" i="5" s="1"/>
  <c r="R22" i="4"/>
  <c r="L22" i="4"/>
  <c r="AH13" i="6" l="1"/>
  <c r="AH16" i="6"/>
  <c r="AH27" i="6"/>
  <c r="AH35" i="6"/>
  <c r="AH20" i="6"/>
  <c r="AH34" i="6"/>
  <c r="AH36" i="6"/>
  <c r="AH12" i="6"/>
  <c r="AH17" i="6"/>
  <c r="AH26" i="6"/>
  <c r="AH30" i="6"/>
  <c r="AH38" i="6"/>
  <c r="AH19" i="6"/>
  <c r="AH22" i="6"/>
  <c r="AH24" i="6"/>
  <c r="AH41" i="6"/>
  <c r="AH13" i="5"/>
  <c r="AH16" i="5"/>
  <c r="AH18" i="5"/>
  <c r="AH24" i="5"/>
  <c r="AH26" i="5"/>
  <c r="AH30" i="5"/>
  <c r="AH37" i="5"/>
  <c r="AH39" i="5"/>
  <c r="AH34" i="5"/>
  <c r="AH23" i="5"/>
  <c r="AH25" i="5"/>
  <c r="AH29" i="5"/>
  <c r="AH21" i="5"/>
  <c r="AH27" i="5"/>
  <c r="AH33" i="5"/>
  <c r="AH35" i="5"/>
  <c r="G22" i="5"/>
  <c r="AH22" i="5" s="1"/>
  <c r="F39" i="6"/>
  <c r="AE39" i="6" s="1"/>
  <c r="AG39" i="6" s="1"/>
  <c r="F19" i="6"/>
  <c r="AE19" i="6" s="1"/>
  <c r="F27" i="6"/>
  <c r="AE27" i="6" s="1"/>
  <c r="F36" i="6"/>
  <c r="AE36" i="6" s="1"/>
  <c r="F32" i="6"/>
  <c r="AE32" i="6" s="1"/>
  <c r="F17" i="6"/>
  <c r="AE17" i="6" s="1"/>
  <c r="F20" i="6"/>
  <c r="AE20" i="6" s="1"/>
  <c r="F13" i="6"/>
  <c r="AE13" i="6" s="1"/>
  <c r="F34" i="6"/>
  <c r="AE34" i="6" s="1"/>
  <c r="F41" i="6"/>
  <c r="AE41" i="6" s="1"/>
  <c r="F21" i="6"/>
  <c r="AE21" i="6" s="1"/>
  <c r="F12" i="6"/>
  <c r="AE12" i="6" s="1"/>
  <c r="F26" i="6"/>
  <c r="AE26" i="6" s="1"/>
  <c r="F15" i="6"/>
  <c r="AE15" i="6" s="1"/>
  <c r="F30" i="6"/>
  <c r="AE30" i="6" s="1"/>
  <c r="F28" i="6"/>
  <c r="AE28" i="6" s="1"/>
  <c r="F22" i="6"/>
  <c r="AE22" i="6" s="1"/>
  <c r="F24" i="6"/>
  <c r="AE24" i="6" s="1"/>
  <c r="F38" i="6"/>
  <c r="AE38" i="6" s="1"/>
  <c r="AG38" i="6" s="1"/>
  <c r="F40" i="6"/>
  <c r="AE40" i="6" s="1"/>
  <c r="AG40" i="6" s="1"/>
  <c r="G11" i="6"/>
  <c r="AH11" i="6" s="1"/>
  <c r="F14" i="6"/>
  <c r="AE14" i="6" s="1"/>
  <c r="F18" i="6"/>
  <c r="AE18" i="6" s="1"/>
  <c r="F23" i="6"/>
  <c r="AE23" i="6" s="1"/>
  <c r="F31" i="6"/>
  <c r="AE31" i="6" s="1"/>
  <c r="F35" i="6"/>
  <c r="AE35" i="6" s="1"/>
  <c r="F16" i="6"/>
  <c r="AE16" i="6" s="1"/>
  <c r="F25" i="6"/>
  <c r="AE25" i="6" s="1"/>
  <c r="F29" i="6"/>
  <c r="AE29" i="6" s="1"/>
  <c r="F33" i="6"/>
  <c r="AE33" i="6" s="1"/>
  <c r="AG32" i="6" s="1"/>
  <c r="F37" i="6"/>
  <c r="AE37" i="6" s="1"/>
  <c r="AG36" i="6" s="1"/>
  <c r="F25" i="5"/>
  <c r="AE25" i="5" s="1"/>
  <c r="F20" i="5"/>
  <c r="AE20" i="5" s="1"/>
  <c r="F31" i="5"/>
  <c r="AE31" i="5" s="1"/>
  <c r="F26" i="5"/>
  <c r="AE26" i="5" s="1"/>
  <c r="F23" i="5"/>
  <c r="AE23" i="5" s="1"/>
  <c r="F34" i="5"/>
  <c r="AE34" i="5" s="1"/>
  <c r="F14" i="5"/>
  <c r="AE14" i="5" s="1"/>
  <c r="F36" i="5"/>
  <c r="AE36" i="5" s="1"/>
  <c r="G11" i="5"/>
  <c r="AH11" i="5" s="1"/>
  <c r="F27" i="5"/>
  <c r="AE27" i="5" s="1"/>
  <c r="F18" i="5"/>
  <c r="AE18" i="5" s="1"/>
  <c r="F32" i="5"/>
  <c r="AE32" i="5" s="1"/>
  <c r="F41" i="5"/>
  <c r="AE41" i="5" s="1"/>
  <c r="F17" i="5"/>
  <c r="AE17" i="5" s="1"/>
  <c r="F24" i="5"/>
  <c r="AE24" i="5" s="1"/>
  <c r="F33" i="5"/>
  <c r="AE33" i="5" s="1"/>
  <c r="F39" i="5"/>
  <c r="AE39" i="5" s="1"/>
  <c r="AG39" i="5" s="1"/>
  <c r="F30" i="5"/>
  <c r="AE30" i="5" s="1"/>
  <c r="F35" i="5"/>
  <c r="AE35" i="5" s="1"/>
  <c r="F37" i="5"/>
  <c r="AE37" i="5" s="1"/>
  <c r="F13" i="5"/>
  <c r="AE13" i="5" s="1"/>
  <c r="F19" i="5"/>
  <c r="AE19" i="5" s="1"/>
  <c r="F21" i="5"/>
  <c r="AE21" i="5" s="1"/>
  <c r="F16" i="5"/>
  <c r="AE16" i="5" s="1"/>
  <c r="F29" i="5"/>
  <c r="AE29" i="5" s="1"/>
  <c r="F15" i="5"/>
  <c r="AE15" i="5" s="1"/>
  <c r="F38" i="5"/>
  <c r="AE38" i="5" s="1"/>
  <c r="AG38" i="5" s="1"/>
  <c r="F40" i="5"/>
  <c r="AE40" i="5" s="1"/>
  <c r="AG40" i="5" s="1"/>
  <c r="F12" i="5"/>
  <c r="AE12" i="5" s="1"/>
  <c r="F28" i="5"/>
  <c r="AE28" i="5" s="1"/>
  <c r="AH42" i="6" l="1"/>
  <c r="AG34" i="6"/>
  <c r="F22" i="5"/>
  <c r="AE22" i="5" s="1"/>
  <c r="AG14" i="6"/>
  <c r="AG29" i="6"/>
  <c r="AG23" i="6"/>
  <c r="AG20" i="6"/>
  <c r="F11" i="6"/>
  <c r="AE11" i="6" s="1"/>
  <c r="AG26" i="6"/>
  <c r="AG17" i="6"/>
  <c r="AG26" i="5"/>
  <c r="AG34" i="5"/>
  <c r="AG20" i="5"/>
  <c r="AG29" i="5"/>
  <c r="AH42" i="5"/>
  <c r="AH44" i="5" s="1"/>
  <c r="AG36" i="5"/>
  <c r="AG14" i="5"/>
  <c r="AG23" i="5"/>
  <c r="F11" i="5"/>
  <c r="AE11" i="5" s="1"/>
  <c r="AG11" i="5" s="1"/>
  <c r="AG32" i="5"/>
  <c r="AG17" i="5"/>
  <c r="AG11" i="6" l="1"/>
  <c r="AG42" i="6" s="1"/>
  <c r="AE42" i="6"/>
  <c r="AE42" i="5"/>
  <c r="AG42" i="5"/>
  <c r="AG44" i="5" s="1"/>
  <c r="K20" i="4" l="1"/>
  <c r="AB39" i="4"/>
  <c r="AD41" i="4"/>
  <c r="AB41" i="4"/>
  <c r="X41" i="4" s="1"/>
  <c r="K41" i="4"/>
  <c r="G41" i="4" s="1"/>
  <c r="AD40" i="4"/>
  <c r="AB40" i="4"/>
  <c r="X40" i="4" s="1"/>
  <c r="K40" i="4"/>
  <c r="G40" i="4" s="1"/>
  <c r="X39" i="4"/>
  <c r="S39" i="4"/>
  <c r="K39" i="4"/>
  <c r="AB38" i="4"/>
  <c r="X38" i="4" s="1"/>
  <c r="R38" i="4"/>
  <c r="K38" i="4"/>
  <c r="G38" i="4" s="1"/>
  <c r="AB37" i="4"/>
  <c r="X37" i="4" s="1"/>
  <c r="K37" i="4"/>
  <c r="G37" i="4" s="1"/>
  <c r="AB36" i="4"/>
  <c r="X36" i="4" s="1"/>
  <c r="M36" i="4"/>
  <c r="K36" i="4"/>
  <c r="G36" i="4" s="1"/>
  <c r="AB35" i="4"/>
  <c r="X35" i="4" s="1"/>
  <c r="T35" i="4"/>
  <c r="K35" i="4"/>
  <c r="G35" i="4" s="1"/>
  <c r="AD34" i="4"/>
  <c r="AB34" i="4"/>
  <c r="X34" i="4" s="1"/>
  <c r="K34" i="4"/>
  <c r="G34" i="4" s="1"/>
  <c r="AB33" i="4"/>
  <c r="X33" i="4" s="1"/>
  <c r="T33" i="4"/>
  <c r="K33" i="4"/>
  <c r="G33" i="4" s="1"/>
  <c r="AB32" i="4"/>
  <c r="X32" i="4" s="1"/>
  <c r="Q32" i="4"/>
  <c r="K32" i="4"/>
  <c r="G32" i="4" s="1"/>
  <c r="AD31" i="4"/>
  <c r="AB31" i="4"/>
  <c r="X31" i="4" s="1"/>
  <c r="K31" i="4"/>
  <c r="G31" i="4" s="1"/>
  <c r="AD30" i="4"/>
  <c r="AB30" i="4"/>
  <c r="X30" i="4" s="1"/>
  <c r="S30" i="4"/>
  <c r="K30" i="4"/>
  <c r="G30" i="4" s="1"/>
  <c r="AB29" i="4"/>
  <c r="X29" i="4" s="1"/>
  <c r="M29" i="4"/>
  <c r="K29" i="4"/>
  <c r="G29" i="4" s="1"/>
  <c r="AB28" i="4"/>
  <c r="X28" i="4" s="1"/>
  <c r="K28" i="4"/>
  <c r="G28" i="4" s="1"/>
  <c r="AB27" i="4"/>
  <c r="X27" i="4" s="1"/>
  <c r="M27" i="4"/>
  <c r="K27" i="4"/>
  <c r="G27" i="4" s="1"/>
  <c r="AD26" i="4"/>
  <c r="AB26" i="4"/>
  <c r="X26" i="4" s="1"/>
  <c r="S26" i="4"/>
  <c r="K26" i="4"/>
  <c r="G26" i="4" s="1"/>
  <c r="AB25" i="4"/>
  <c r="X25" i="4" s="1"/>
  <c r="Q25" i="4"/>
  <c r="K25" i="4"/>
  <c r="G25" i="4" s="1"/>
  <c r="AB24" i="4"/>
  <c r="X24" i="4" s="1"/>
  <c r="Q24" i="4"/>
  <c r="K24" i="4"/>
  <c r="G24" i="4" s="1"/>
  <c r="AB23" i="4"/>
  <c r="X23" i="4" s="1"/>
  <c r="M23" i="4"/>
  <c r="N23" i="4" s="1"/>
  <c r="K23" i="4"/>
  <c r="G23" i="4" s="1"/>
  <c r="AB22" i="4"/>
  <c r="X22" i="4" s="1"/>
  <c r="K22" i="4"/>
  <c r="G22" i="4" s="1"/>
  <c r="AB21" i="4"/>
  <c r="X21" i="4" s="1"/>
  <c r="R21" i="4"/>
  <c r="M21" i="4"/>
  <c r="K21" i="4"/>
  <c r="G21" i="4" s="1"/>
  <c r="AB20" i="4"/>
  <c r="X20" i="4" s="1"/>
  <c r="M20" i="4"/>
  <c r="G20" i="4"/>
  <c r="AB19" i="4"/>
  <c r="X19" i="4" s="1"/>
  <c r="N19" i="4"/>
  <c r="M19" i="4"/>
  <c r="K19" i="4"/>
  <c r="G19" i="4" s="1"/>
  <c r="AB18" i="4"/>
  <c r="X18" i="4" s="1"/>
  <c r="S18" i="4"/>
  <c r="K18" i="4"/>
  <c r="G18" i="4" s="1"/>
  <c r="AB17" i="4"/>
  <c r="X17" i="4" s="1"/>
  <c r="S17" i="4"/>
  <c r="M17" i="4"/>
  <c r="K17" i="4"/>
  <c r="G17" i="4" s="1"/>
  <c r="AB16" i="4"/>
  <c r="X16" i="4" s="1"/>
  <c r="M16" i="4"/>
  <c r="K16" i="4"/>
  <c r="G16" i="4" s="1"/>
  <c r="AB15" i="4"/>
  <c r="X15" i="4" s="1"/>
  <c r="W15" i="4"/>
  <c r="K15" i="4"/>
  <c r="G15" i="4" s="1"/>
  <c r="AB14" i="4"/>
  <c r="X14" i="4" s="1"/>
  <c r="S14" i="4"/>
  <c r="R14" i="4"/>
  <c r="M14" i="4"/>
  <c r="K14" i="4"/>
  <c r="G14" i="4" s="1"/>
  <c r="AB13" i="4"/>
  <c r="X13" i="4" s="1"/>
  <c r="T13" i="4"/>
  <c r="Q13" i="4"/>
  <c r="K13" i="4"/>
  <c r="G13" i="4" s="1"/>
  <c r="AB12" i="4"/>
  <c r="X12" i="4" s="1"/>
  <c r="K12" i="4"/>
  <c r="AB11" i="4"/>
  <c r="X11" i="4" s="1"/>
  <c r="T11" i="4"/>
  <c r="R11" i="4"/>
  <c r="K11" i="4"/>
  <c r="G11" i="4" s="1"/>
  <c r="G39" i="4" l="1"/>
  <c r="AH11" i="4"/>
  <c r="AH21" i="4"/>
  <c r="AH25" i="4"/>
  <c r="AH13" i="4"/>
  <c r="AH31" i="4"/>
  <c r="AH35" i="4"/>
  <c r="AH14" i="4"/>
  <c r="AH23" i="4"/>
  <c r="AH27" i="4"/>
  <c r="AH33" i="4"/>
  <c r="AH15" i="4"/>
  <c r="AH39" i="4"/>
  <c r="AH17" i="4"/>
  <c r="AH32" i="4"/>
  <c r="AH36" i="4"/>
  <c r="AH16" i="4"/>
  <c r="AH29" i="4"/>
  <c r="AH41" i="4"/>
  <c r="AH18" i="4"/>
  <c r="AH37" i="4"/>
  <c r="AH20" i="4"/>
  <c r="AH24" i="4"/>
  <c r="AH26" i="4"/>
  <c r="AH30" i="4"/>
  <c r="AH38" i="4"/>
  <c r="AH19" i="4"/>
  <c r="AH22" i="4"/>
  <c r="AH28" i="4"/>
  <c r="AH34" i="4"/>
  <c r="F26" i="4"/>
  <c r="AE26" i="4" s="1"/>
  <c r="F32" i="4"/>
  <c r="AE32" i="4" s="1"/>
  <c r="F14" i="4"/>
  <c r="AE14" i="4" s="1"/>
  <c r="F20" i="4"/>
  <c r="AE20" i="4" s="1"/>
  <c r="F33" i="4"/>
  <c r="AE33" i="4" s="1"/>
  <c r="F13" i="4"/>
  <c r="AE13" i="4" s="1"/>
  <c r="F21" i="4"/>
  <c r="AE21" i="4" s="1"/>
  <c r="F19" i="4"/>
  <c r="AE19" i="4" s="1"/>
  <c r="F15" i="4"/>
  <c r="AE15" i="4" s="1"/>
  <c r="F18" i="4"/>
  <c r="AE18" i="4" s="1"/>
  <c r="F30" i="4"/>
  <c r="AE30" i="4" s="1"/>
  <c r="F39" i="4"/>
  <c r="AE39" i="4" s="1"/>
  <c r="AG39" i="4" s="1"/>
  <c r="F11" i="4"/>
  <c r="AE11" i="4" s="1"/>
  <c r="F36" i="4"/>
  <c r="AE36" i="4" s="1"/>
  <c r="F41" i="4"/>
  <c r="AE41" i="4" s="1"/>
  <c r="F28" i="4"/>
  <c r="AE28" i="4" s="1"/>
  <c r="F27" i="4"/>
  <c r="AE27" i="4" s="1"/>
  <c r="F29" i="4"/>
  <c r="AE29" i="4" s="1"/>
  <c r="F24" i="4"/>
  <c r="AE24" i="4" s="1"/>
  <c r="F34" i="4"/>
  <c r="AE34" i="4" s="1"/>
  <c r="F16" i="4"/>
  <c r="AE16" i="4" s="1"/>
  <c r="F23" i="4"/>
  <c r="AE23" i="4" s="1"/>
  <c r="F31" i="4"/>
  <c r="AE31" i="4" s="1"/>
  <c r="F17" i="4"/>
  <c r="AE17" i="4" s="1"/>
  <c r="F25" i="4"/>
  <c r="AE25" i="4" s="1"/>
  <c r="F37" i="4"/>
  <c r="AE37" i="4" s="1"/>
  <c r="G12" i="4"/>
  <c r="AH12" i="4" s="1"/>
  <c r="F35" i="4"/>
  <c r="AE35" i="4" s="1"/>
  <c r="F38" i="4"/>
  <c r="AE38" i="4" s="1"/>
  <c r="AG38" i="4" s="1"/>
  <c r="F40" i="4"/>
  <c r="AE40" i="4" s="1"/>
  <c r="F22" i="4"/>
  <c r="AE22" i="4" s="1"/>
  <c r="AG20" i="4" l="1"/>
  <c r="AG32" i="4"/>
  <c r="AG26" i="4"/>
  <c r="AG14" i="4"/>
  <c r="AG17" i="4"/>
  <c r="AG29" i="4"/>
  <c r="AG34" i="4"/>
  <c r="AH45" i="4"/>
  <c r="AG23" i="4"/>
  <c r="AG36" i="4"/>
  <c r="F12" i="4"/>
  <c r="AE12" i="4" s="1"/>
  <c r="AG11" i="4" s="1"/>
  <c r="AG45" i="4" l="1"/>
</calcChain>
</file>

<file path=xl/comments1.xml><?xml version="1.0" encoding="utf-8"?>
<comments xmlns="http://schemas.openxmlformats.org/spreadsheetml/2006/main">
  <authors>
    <author>Кульгускин Владимир Анатольевич</author>
  </authors>
  <commentLis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Эти не прислали ничего!</t>
        </r>
      </text>
    </comment>
  </commentList>
</comments>
</file>

<file path=xl/comments10.xml><?xml version="1.0" encoding="utf-8"?>
<comments xmlns="http://schemas.openxmlformats.org/spreadsheetml/2006/main">
  <authors>
    <author>Кульгускин Владимир Анатольевич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 взата информация из их заявки из их хотелок, присланных 05.05.2023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взата информация из их заявки из их хотелок, присланных 05.05.2023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взата информация из их заявки из их хотелок, присланных 05.05.2023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Прислали пересчет 24.05.2023, поменяли стоимость</t>
        </r>
      </text>
    </comment>
  </commentList>
</comments>
</file>

<file path=xl/comments11.xml><?xml version="1.0" encoding="utf-8"?>
<comments xmlns="http://schemas.openxmlformats.org/spreadsheetml/2006/main">
  <authors>
    <author>Кульгускин Владимир Анатольевич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 взата информация из их заявки из их хотелок, присланных 05.05.2023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 взата информация из их заявки из их хотелок, присланных 05.05.2023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 взата информация из их заявки из их хотелок, присланных 05.05.2023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Прислали пересчет 24.05.2023, поменяли стоимость</t>
        </r>
      </text>
    </comment>
  </commentList>
</comments>
</file>

<file path=xl/comments2.xml><?xml version="1.0" encoding="utf-8"?>
<comments xmlns="http://schemas.openxmlformats.org/spreadsheetml/2006/main">
  <authors>
    <author>Кульгускин Владимир Анатольевич</author>
  </authors>
  <commentLis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Эти не прислали ничего!</t>
        </r>
      </text>
    </comment>
  </commentList>
</comments>
</file>

<file path=xl/comments3.xml><?xml version="1.0" encoding="utf-8"?>
<comments xmlns="http://schemas.openxmlformats.org/spreadsheetml/2006/main">
  <authors>
    <author>Кульгускин Владимир Анатольевич</author>
  </authors>
  <commentLis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корректировка ЗП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Не прислали ничего</t>
        </r>
      </text>
    </comment>
  </commentList>
</comments>
</file>

<file path=xl/comments4.xml><?xml version="1.0" encoding="utf-8"?>
<comments xmlns="http://schemas.openxmlformats.org/spreadsheetml/2006/main">
  <authors>
    <author>Кульгускин Владимир Анатольевич</author>
  </authors>
  <commentLis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корректировка ЗП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Не прислали ничего</t>
        </r>
      </text>
    </comment>
  </commentList>
</comments>
</file>

<file path=xl/comments5.xml><?xml version="1.0" encoding="utf-8"?>
<comments xmlns="http://schemas.openxmlformats.org/spreadsheetml/2006/main">
  <authors>
    <author>Кульгускин Владимир Анатольевич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Выравнивание ЗП</t>
        </r>
      </text>
    </comment>
  </commentList>
</comments>
</file>

<file path=xl/comments6.xml><?xml version="1.0" encoding="utf-8"?>
<comments xmlns="http://schemas.openxmlformats.org/spreadsheetml/2006/main">
  <authors>
    <author>Кульгускин Владимир Анатольевич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Выравнивание ЗП</t>
        </r>
      </text>
    </comment>
  </commentList>
</comments>
</file>

<file path=xl/comments7.xml><?xml version="1.0" encoding="utf-8"?>
<comments xmlns="http://schemas.openxmlformats.org/spreadsheetml/2006/main">
  <authors>
    <author>Кульгускин Владимир Анатольевич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Выравнивание ЗП</t>
        </r>
      </text>
    </comment>
  </commentList>
</comments>
</file>

<file path=xl/comments8.xml><?xml version="1.0" encoding="utf-8"?>
<comments xmlns="http://schemas.openxmlformats.org/spreadsheetml/2006/main">
  <authors>
    <author>Кульгускин Владимир Анатольевич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Прислали пересчет 24.05.2023, поменяли стоимость</t>
        </r>
      </text>
    </comment>
  </commentList>
</comments>
</file>

<file path=xl/comments9.xml><?xml version="1.0" encoding="utf-8"?>
<comments xmlns="http://schemas.openxmlformats.org/spreadsheetml/2006/main">
  <authors>
    <author>Кульгускин Владимир Анатольевич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Прислали пересчет 24.05.2023, поменяли стоимость</t>
        </r>
      </text>
    </comment>
  </commentList>
</comments>
</file>

<file path=xl/sharedStrings.xml><?xml version="1.0" encoding="utf-8"?>
<sst xmlns="http://schemas.openxmlformats.org/spreadsheetml/2006/main" count="3875" uniqueCount="177">
  <si>
    <t>Наименование учреждения, выполняющего государственную работу</t>
  </si>
  <si>
    <t>Наименование государственной работы</t>
  </si>
  <si>
    <t>Показатель объема</t>
  </si>
  <si>
    <t>Размер нормативных затрат на выполнение единицы государственной работы, руб</t>
  </si>
  <si>
    <t>Объем бюджетных ассигнований (без учета налогов на содержание имущетсва), тыс руб
(гр. 5*гр. 6)/1000 + гр.30)</t>
  </si>
  <si>
    <t>Затраты на уплату налогов, в качестве объекта налогообложения по которым признается имущество Учреждения (с применением коэффициента), тыс. руб.</t>
  </si>
  <si>
    <t>Объем бюджетных ассигнований (с учетом налогов на содержание имущетсва) в целом по ФГБУ, тыс. руб.</t>
  </si>
  <si>
    <t>наименование</t>
  </si>
  <si>
    <t>единица измерения</t>
  </si>
  <si>
    <t>значения</t>
  </si>
  <si>
    <t>всего,
(гр.7 + гр.13 + гр.16 + гр.17 + гр.18 + 
 гр.19 + гр.20 + гр.21 + гр.22 + 
 гр.23 + гр. 24+ гр.30)</t>
  </si>
  <si>
    <t>в том числе:</t>
  </si>
  <si>
    <t>Оплата труда</t>
  </si>
  <si>
    <t>Затраты на приобретение материальных запасов и на приобретение движимого имущества (основных средств и нематериальных активов), используемого в процессе выполнения работы, с учетом срока его полезного использования, а также затраты на аренду указанного имущества</t>
  </si>
  <si>
    <t xml:space="preserve">Затраты на формирование резерва на полное восстановление состава объектов особо ценного движимого имущества, используемого в процессе выполнения работы (основные средства и нематериальные активы) </t>
  </si>
  <si>
    <t xml:space="preserve">Иные нормативные затраты, непосредственно связанные с выполнением работы </t>
  </si>
  <si>
    <t>Коммуналь-ные услуги</t>
  </si>
  <si>
    <t>Содержание недвижимого имущества</t>
  </si>
  <si>
    <t>Содержание особо ценного движимого имущества</t>
  </si>
  <si>
    <t xml:space="preserve">Затраты на формирование резерва на полное восстановление состава объектов особо ценного движимого имущества, необходимого для общехозяйственных нужд  (основные средства и нематериальные активы) </t>
  </si>
  <si>
    <t>Услуги связи</t>
  </si>
  <si>
    <t>Транспортные услуги</t>
  </si>
  <si>
    <t>Оплата труда 2 (сотрудников, непосредственно не участвующих в выполнении госзадание)</t>
  </si>
  <si>
    <t>Прочие затраты на общехозяйственные нужды</t>
  </si>
  <si>
    <t>всего по оплате труда (гр.8 + гр.9 + гр.10 + гр.11 + гр.12)</t>
  </si>
  <si>
    <t>всего, 
(гр.25 + гр.26 + гр.27 + гр.28 + гр. 29)</t>
  </si>
  <si>
    <t>оплата труда работников за исключением денежного довольствия военнослужащих и сотрудников, имеющих специальные звания</t>
  </si>
  <si>
    <t>денежное довольствие военнослужащим и сотрудникам, имеющим специальные звания</t>
  </si>
  <si>
    <t>выплаты, зависящие от размера оплаты труда работников</t>
  </si>
  <si>
    <t>страховые взносы в государственные внебюджетные фонды</t>
  </si>
  <si>
    <t>иные расходы, не зависящие от размера оплаты труда работников</t>
  </si>
  <si>
    <t>всего</t>
  </si>
  <si>
    <t>из них:</t>
  </si>
  <si>
    <t>движимое имущество (основные средства и нематериальные активы), не отнесенные к особо ценному движимому имуществу</t>
  </si>
  <si>
    <t>горюче-смазочные материалы</t>
  </si>
  <si>
    <t>ФГБУ "ЦЛАТИ по СФО"</t>
  </si>
  <si>
    <t>Проведение лабораторных исследований, измерений и испытаний в рамках федерального государственного экологического надзора</t>
  </si>
  <si>
    <t>Количество проведенных исследований, измерений и испытаний</t>
  </si>
  <si>
    <t>Единица</t>
  </si>
  <si>
    <t>Экспертное сопровождение в рамках обеспечения федерального государственного экологического надзора</t>
  </si>
  <si>
    <t>Количество выданных экспертных заключений</t>
  </si>
  <si>
    <t>Оценка размера вреда, причиненного недрам вследствие нарушения законодательства РФ о недрах"</t>
  </si>
  <si>
    <t>Количество выданных заключений</t>
  </si>
  <si>
    <t>ФГБУ "ЦЛАТИ по УФО"</t>
  </si>
  <si>
    <t>ФГБУ "ЦЛАТИ по ПФО"</t>
  </si>
  <si>
    <t>единица</t>
  </si>
  <si>
    <t>ФГБУ "ЦЛАТИ по СЗФО"</t>
  </si>
  <si>
    <t>ФГБУ "ЦЛАТИ по ДФО"</t>
  </si>
  <si>
    <t>ФГБУ "ЦЛАТИ по ЮФО"</t>
  </si>
  <si>
    <t>Проведение лабораторных исследований, измерений и испытаний в рамках государственного экологического надзора</t>
  </si>
  <si>
    <t>Экспертное сопровождение в рамках обеспечения государственного экологического надзора</t>
  </si>
  <si>
    <t>ФГБУ "ЦЛАТИ по ЦФО"</t>
  </si>
  <si>
    <t>ФГБУ "Балтийско-Арктическая техмордирекция"</t>
  </si>
  <si>
    <t xml:space="preserve">единица </t>
  </si>
  <si>
    <t>ФГБУ "СевКасптехмордирекция"</t>
  </si>
  <si>
    <t>ФГБУ "ЧерАзтехмордирекция"</t>
  </si>
  <si>
    <t>Проведение лабораторных исследований,измерений и испытаний в рамках обеспечения федерального государственного экологического надзора</t>
  </si>
  <si>
    <t>Экспертное сопровождение  в рамках обеспечения  федерального государтсвенного экологического надзора</t>
  </si>
  <si>
    <t>ФГБУ "Камчаттехмодирекция"</t>
  </si>
  <si>
    <t>ФГБУ "ТОтехмордирекция"</t>
  </si>
  <si>
    <t>ФГБУ "ФЦАО"</t>
  </si>
  <si>
    <t>Подтверждение отнесения видов отходов производства и потребления к конкретному классу опасности и их идентификация</t>
  </si>
  <si>
    <t>Количество выданных эксперных заключений</t>
  </si>
  <si>
    <t>Выполнение обязательств Российской Федерации, вытекающих из «Конвенции о международной торговле видами дикой фауны и флоры, находящихся под угрозой исчезновения» от 3 марта 1973 года</t>
  </si>
  <si>
    <t>Трудозатраты</t>
  </si>
  <si>
    <t>(человеко-день)</t>
  </si>
  <si>
    <t>ЗП - было</t>
  </si>
  <si>
    <t>ЗП - стало</t>
  </si>
  <si>
    <t>ЗП-стало</t>
  </si>
  <si>
    <t>ЗП-было</t>
  </si>
  <si>
    <t>СТАЛО</t>
  </si>
  <si>
    <t>БЫЛО</t>
  </si>
  <si>
    <t>2025 год</t>
  </si>
  <si>
    <t xml:space="preserve">Пересчет Лены в соответствии со служебкой УЭиФ от 29.09.2022 № 03-00/11688  </t>
  </si>
  <si>
    <t>Направлен СЗ от 30.09.2022 № 06-00/11755</t>
  </si>
  <si>
    <t>ИТОГО</t>
  </si>
  <si>
    <t>х</t>
  </si>
  <si>
    <t>Учреждение</t>
  </si>
  <si>
    <t>Лабораторное сопровождение</t>
  </si>
  <si>
    <t>Экспертное сопровождение</t>
  </si>
  <si>
    <t>Количество работ, ед</t>
  </si>
  <si>
    <t>Стоимость ед. работы</t>
  </si>
  <si>
    <t>Выполнение обязательств Российской Федерации, вытекающих из "Конвенции о международной торговле видами дикой фауны и флоры, находящихся под угрозой исчезновения" от 3 марта 1973 года 
(1. Временное хранение изъятых и конфискованных образцов и дериватов животных и растений, включенных в приложения СИТЕС, до принятия решения административным органом СИТЕС в России)</t>
  </si>
  <si>
    <t>Выполнение обязательств Российской Федерации, вытекающих из "Конвенции о международной торговле видами дикой фауны и флоры, находящихся под угрозой исчезновения" от 3 марта 1973 года 
(2. При несоблюдении требований к содержанию и использованию диких животных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Федерации, оказание содействия до принятия решения о месте содержания конфискованных или вынужденно изъятых из естественной среды обитания животных, возврат которых в естественную среду обитания невозможен)</t>
  </si>
  <si>
    <t>Выполнение обязательств Российской Федерации, вытекающих из "Конвенции о международной торговле видами дикой фауны и флоры, находящихся под угрозой исчезновения" от 3 марта 1973 года 
(3. Идентификация и определение видовой принадлежности конфискованных образцов и дериватов животных и растений)</t>
  </si>
  <si>
    <t>в части ФЦАО перераспределены работы по Красной книге в разделении на 3 направления, направлено в УЭиФ служебной запиской от 28.11.2022 № 06-00/14355</t>
  </si>
  <si>
    <t>2026 год</t>
  </si>
  <si>
    <t>Свод для расчета ДБА по письмам РПН  (пр.: РН-06-02-31/10753 от 07.04.2023) и  СЗ от 24.03.2023 №03-00/3497 предварительный для напрлавения в УЭиФ на увеличение БА на 2025 и 2026 год! Свод для ответа на СЗ УЭиФ от 02.05.2023 №03-00/5331!</t>
  </si>
  <si>
    <t>Свод для расчета ДБА по письмам РПН  (пр.: РН-06-02-31/10753 от 07.04.2023) и  СЗ от 24.03.2023 №03-00/3497 предварительный для напрлавения в УЭиФ на увеличение БА на 2025 и 2026 год!Свод для ответа на СЗ УЭиФ от 02.05.2023 №03-00/5331!</t>
  </si>
  <si>
    <t>ОКРУГЛИТЬ ВСЕ ПОСЛЕ СВОДА!!!</t>
  </si>
  <si>
    <t>налоги расчетно из их таблицы на сумму, которая не сходится</t>
  </si>
  <si>
    <t>взяты хотелки ПФО, не соответствующие ББА и ДБА!</t>
  </si>
  <si>
    <t>760 563,2</t>
  </si>
  <si>
    <t>Не понадобился, информация была отправлена Татьяной СЗ 06-00/5881 от 16.05.2023</t>
  </si>
  <si>
    <t>Объем, доведенный до учреждений письмами!</t>
  </si>
  <si>
    <t>После свода округлить! Проверить, те ли суммы в итоге получаются, что мы им направляли!Проверить, чтобы стоимость работ была одинаковой в ДБА и ББА!</t>
  </si>
  <si>
    <t>После свода округлить! Проверить, те ли суммы в итоге получаются, что мы им направляли!Проверить, чтобы стоимость работ была одинаковой в ДБА и ББА! Сверить с Ленкиной таблицей по суммам!</t>
  </si>
  <si>
    <t>отклонение!</t>
  </si>
  <si>
    <t>стоимость работы из ДБА</t>
  </si>
  <si>
    <t>Брал расчеты ДБА из их хотелок, и НЗ другие получется, не совпадают с ББА!</t>
  </si>
  <si>
    <t>Выравнивание после применения коэффициента платной деятельности и установления величины налогов!</t>
  </si>
  <si>
    <t>значение суммы из Ленкиной таблицы</t>
  </si>
  <si>
    <t>дельта</t>
  </si>
  <si>
    <t>ручная кооректировка! СЗФО дали по БФА дельту!</t>
  </si>
  <si>
    <t>ПФО поменяли свои цифры 29.05.2023 для того, чтобы под общую сумму отправленную в УЭиФ выйти!</t>
  </si>
  <si>
    <t>лабораторные исследования</t>
  </si>
  <si>
    <t>экспертное сопровождение</t>
  </si>
  <si>
    <t>оценка размера вреда</t>
  </si>
  <si>
    <t>Оценка размера вреда, причиненного недрам</t>
  </si>
  <si>
    <t>ФГБУ " СевКасптехмордирекция"</t>
  </si>
  <si>
    <t>ФГБУ "ТОТЕХМОРДИРЕКЦИЯ"</t>
  </si>
  <si>
    <t>Проведение прикладных научных исследований</t>
  </si>
  <si>
    <t>Сумма, тыс. руб.</t>
  </si>
  <si>
    <t>ФГБУ "ГосНИИЭНП"</t>
  </si>
  <si>
    <t xml:space="preserve">ВСЕГО </t>
  </si>
  <si>
    <t>Сумма,тыс.  рублей</t>
  </si>
  <si>
    <t>Количество работ ББА, ед</t>
  </si>
  <si>
    <t>Количество работ ДБА, ед</t>
  </si>
  <si>
    <t>Дельта объемов ДБА-ББА, ед</t>
  </si>
  <si>
    <t>Сумма по ББА,тыс. руб.</t>
  </si>
  <si>
    <t>Сумма по ДБА,тыс. руб.</t>
  </si>
  <si>
    <t>Дельта суммы ДБА-ББА,тыс. руб.</t>
  </si>
  <si>
    <t>Свод нормативных затрат на 2025 плановый год</t>
  </si>
  <si>
    <t>Сумма налогов, тыс рублей</t>
  </si>
  <si>
    <t>Всего сумма по учреждениям на 2025 год ББА, тыс. руб.</t>
  </si>
  <si>
    <t>Всего сумма по учреждениям на 2025 год ДБА, тыс. руб.</t>
  </si>
  <si>
    <t>Дельта суммы ДБА-ББА, тыс. руб.</t>
  </si>
  <si>
    <t>Всего сумма по учреждению на 2025 год ББА, тыс. руб.</t>
  </si>
  <si>
    <t>Всего сумма по учреждению на 2025 год ДБА, тыс. руб.</t>
  </si>
  <si>
    <t>из расчета утвержденных НЗ на 2025 год по ГосНИИЭНП</t>
  </si>
  <si>
    <t>ИТОГО по ББА</t>
  </si>
  <si>
    <t>ИТОГО по ДБА</t>
  </si>
  <si>
    <r>
      <t xml:space="preserve">из расчета утвержденных НЗ по </t>
    </r>
    <r>
      <rPr>
        <b/>
        <sz val="12"/>
        <color rgb="FF0070C0"/>
        <rFont val="Times New Roman"/>
        <family val="1"/>
        <charset val="204"/>
      </rPr>
      <t>ББА</t>
    </r>
    <r>
      <rPr>
        <b/>
        <sz val="12"/>
        <color theme="1"/>
        <rFont val="Times New Roman"/>
        <family val="1"/>
        <charset val="204"/>
      </rPr>
      <t xml:space="preserve"> на 2025 год по Учреждениями (без ГосНИИЭНП)</t>
    </r>
  </si>
  <si>
    <r>
      <t xml:space="preserve">из расчета утвержденных НЗ по </t>
    </r>
    <r>
      <rPr>
        <b/>
        <sz val="12"/>
        <color rgb="FF0070C0"/>
        <rFont val="Times New Roman"/>
        <family val="1"/>
        <charset val="204"/>
      </rPr>
      <t>ДБА</t>
    </r>
    <r>
      <rPr>
        <b/>
        <sz val="12"/>
        <color theme="1"/>
        <rFont val="Times New Roman"/>
        <family val="1"/>
        <charset val="204"/>
      </rPr>
      <t xml:space="preserve"> на 2025 год по Учреждениями (без ГосНИИЭНП)</t>
    </r>
  </si>
  <si>
    <t>Свод нормативных затрат на 2026 плановый год</t>
  </si>
  <si>
    <t>Всего сумма по учреждениям на 2026 год ББА, тыс. руб.</t>
  </si>
  <si>
    <t>Всего сумма по учреждениям на 2026 год ДБА, тыс. руб.</t>
  </si>
  <si>
    <t>Всего сумма по учреждению на 2026 год ББА, тыс. руб.</t>
  </si>
  <si>
    <t>Всего сумма по учреждению на 2026 год ДБА, тыс. руб.</t>
  </si>
  <si>
    <r>
      <t xml:space="preserve">из расчета утвержденных НЗ по </t>
    </r>
    <r>
      <rPr>
        <b/>
        <sz val="12"/>
        <color rgb="FF0070C0"/>
        <rFont val="Times New Roman"/>
        <family val="1"/>
        <charset val="204"/>
      </rPr>
      <t>ББА</t>
    </r>
    <r>
      <rPr>
        <b/>
        <sz val="12"/>
        <color theme="1"/>
        <rFont val="Times New Roman"/>
        <family val="1"/>
        <charset val="204"/>
      </rPr>
      <t xml:space="preserve"> на 2026 год по Учреждениями (без ГосНИИЭНП)</t>
    </r>
  </si>
  <si>
    <r>
      <t xml:space="preserve">из расчета утвержденных НЗ по </t>
    </r>
    <r>
      <rPr>
        <b/>
        <sz val="12"/>
        <color rgb="FF0070C0"/>
        <rFont val="Times New Roman"/>
        <family val="1"/>
        <charset val="204"/>
      </rPr>
      <t>ДБА</t>
    </r>
    <r>
      <rPr>
        <b/>
        <sz val="12"/>
        <color theme="1"/>
        <rFont val="Times New Roman"/>
        <family val="1"/>
        <charset val="204"/>
      </rPr>
      <t xml:space="preserve"> на 2026 год по Учреждениями (без ГосНИИЭНП)</t>
    </r>
  </si>
  <si>
    <t>из расчета утвержденных НЗ на 2026 год по ГосНИИЭНП</t>
  </si>
  <si>
    <t>Проведение обследования объектов, обладающих признаками объектов накопленного вреда окружающей среде, на состояние окружающей среды</t>
  </si>
  <si>
    <t>Количество обследованных объектов</t>
  </si>
  <si>
    <t>значение, кол-во</t>
  </si>
  <si>
    <t>ФГБУ ЦЛАТИ по УФО</t>
  </si>
  <si>
    <t>ФГБУ ЦЛАТИ по ПФО</t>
  </si>
  <si>
    <t>ФГБУ ЦЛАТИ по СЗФО</t>
  </si>
  <si>
    <t>ФГБУ ЦЛАТИ по ДФО</t>
  </si>
  <si>
    <t>ФГБУ ЦЛАТИ по ЮФО</t>
  </si>
  <si>
    <t>Проведение оценки объектов, обладающих признаками объектов накопленного вреда окружающей среде, на состояние окружающей среды</t>
  </si>
  <si>
    <t>Количество заключений по оценке объектов</t>
  </si>
  <si>
    <t xml:space="preserve"> 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</si>
  <si>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СИБИРСКОМУ ФЕДЕРАЛЬНОМУ ОКРУГУ"  НА 2025 ГОД И НА ПЛАНОВЫЙ ПЕРИОД 2026 И 2027 ГОДОВ   </t>
  </si>
  <si>
    <t>2027 год</t>
  </si>
  <si>
    <t>Оценка размера вреда, причиненного недрам вследствие нарушения законодательства РФ о недрах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</si>
  <si>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УРАЛЬСКОМУ ФЕДЕРАЛЬНОМУ ОКРУГУ"  НА 2025 ГОД И НА ПЛАНОВЫЙ ПЕРИОД 2026 И 2027 ГОДОВ   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</si>
  <si>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ПРИВОЛЖСКОМУ ФЕДЕРАЛЬНОМУ ОКРУГУ"  НА 2025 ГОД И НА ПЛАНОВЫЙ ПЕРИОД 2026 И 2027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</si>
  <si>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СИБИРСКОМУ ФЕДЕРАЛЬНОМУ ОКРУГУ"  НА 2025 ГОД И ПЛАНОВЫЙ ПЕРИОД 2026 ГОДА В РАМКАХ ФП "ГЕНЕРАЛЬНАЯ УБОРКА"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</si>
  <si>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УРАЛЬСКОМУ ФЕДЕРАЛЬНОМУ ОКРУГУ"  НА 2025 ГОД И ПЛАНОВЫЙ ПЕРИОД 2026 ГОДА В РАМКАХ ФП "ГЕНЕРАЛЬНАЯ УБОРКА"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</si>
  <si>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ПРИВОЛЖСКОМУ ФЕДЕРАЛЬНОМУ ОКРУГУ"  НА 2025 ГОД И ПЛАНОВЫЙ ПЕРИОД 2026 ГОДА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</si>
  <si>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СЕВЕРО-ЗАПАДНОМУ ФЕДЕРАЛЬНОМУ ОКРУГУ"  НА 2025 ГОД И НА ПЛАНОВЫЙ ПЕРИОД 2026 И 2027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</si>
  <si>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СЕВЕРО-ЗАПАДНОМУ ФЕДЕРАЛЬНОМУ ОКРУГУ"  НА 2025 ГОД И ПЛАНОВЫЙ ПЕРИОД 2026 ГОДА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</si>
  <si>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ДАЛЬНЕВОСТОЧНОМУ ФЕДЕРАЛЬНОМУ ОКРУГУ"  НА 2025 ГОД И НА ПЛАНОВЫЙ ПЕРИОД 2026 И 2027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</si>
  <si>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ДАЛЬНЕВОСТОЧНОМУ ФЕДЕРАЛЬНОМУ ОКРУГУ"  НА 2025 ГОД И ПЛАНОВЫЙ ПЕРИОД 2026 ГОДА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</si>
  <si>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ЮЖНОМУ ФЕДЕРАЛЬНОМУ ОКРУГУ"  НА 2025 ГОД И НА ПЛАНОВЫЙ ПЕРИОД 2026 И 2027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</si>
  <si>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ЮЖНОМУ ФЕДЕРАЛЬНОМУ ОКРУГУ"  НА 2025 ГОД И ПЛАНОВЫЙ ПЕРИОД 2026 ГОДА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</si>
  <si>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ЦЕНТРАЛЬНОМУ ФЕДЕРАЛЬНОМУ ОКРУГУ"  НА 2025 ГОД И НА ПЛАНОВЫЙ ПЕРИОД 2026 И 2027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</si>
  <si>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ЦЕНТРАЛЬНОМУ ФЕДЕРАЛЬНОМУ ОКРУГУ"  НА 2025 ГОД И ПЛАНОВЫЙ ПЕРИОД 2026 ГОДА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</si>
  <si>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"БАЛТИЙСКО-АРКТИЧЕСКАЯ ДИРЕКЦИЯ ПО ТЕХНИЧЕСКОМУ ОБЕСПЕЧЕНИЮ НАДЗОРА НА МОРЕ"  НА 2025 ГОД И НА ПЛАНОВЫЙ ПЕРИОД 2026 И 2027 ГОДОВ   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</si>
  <si>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"СЕВЕРО-КАСПИЙСКАЯ ДИРЕКЦИЯ ПО ТЕХНИЧЕСКОМУ ОБЕСПЕЧЕНИЮ НАДЗОРА НА МОРЕ"  НА 2025 ГОД И НА ПЛАНОВЫЙ ПЕРИОД 2026 И 2027 ГОДОВ   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</si>
  <si>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"ЧЕРНОМОРО-АЗОВСКАЯ ДИРЕКЦИЯ ПО ТЕХНИЧЕСКОМУ ОБЕСПЕЧЕНИЮ НАДЗОРА НА МОРЕ"  НА 2025 ГОД И НА ПЛАНОВЫЙ ПЕРИОД 2026 И 2027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</si>
  <si>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"ЧЕРНОМОРО-АЗОВСКАЯ ДИРЕКЦИЯ ПО ТЕХНИЧЕСКОМУ ОБЕСПЕЧЕНИЮ НАДЗОРА НА МОРЕ"  НА 2025 ГОД И ПЛАНОВЫЙ ПЕРИОД 2026 ГОДА В РАМКАХ ФП "ГЕНЕРАЛЬНАЯ УБОРКА"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</si>
  <si>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"ФЕДЕРАЛЬНЫЙ ЦЕНТР АНАЛИЗА И ОЦЕНКИ ТЕХНОГЕННОГО ВОЗДЕЙСТВИЯ"  НА 2025 ГОД И ПЛАНОВЫЙ 2026 ГОД В РАМКАХ ФП "ГЕНЕРАЛЬНАЯ УБОРКА"</t>
  </si>
  <si>
    <t>ЧерАзтехмордирекция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</si>
  <si>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"ФЕДЕРАЛЬНЫЙ ЦЕНТР АНАЛИЗА И ОЦЕНКИ ТЕХНОГЕННОГО ВОЗДЕЙСТВИЯ"  НА 2025 ГОД И НА ПЛАНОВЫЙ ПЕРИОД 2026 И 2027 ГОДОВ   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</si>
  <si>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"КАМЧАТСКАЯ ДИРЕКЦИЯ ПО ТЕХНИЧЕСКОМУ ОБЕСПЕЧЕНИЮ НАДЗОРА НА МОРЕ"  НА 2025 ГОД И НА ПЛАНОВЫЙ ПЕРИОД 2026 И 2027 ГОДОВ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</si>
</sst>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.000"/>
    <numFmt numFmtId="165" formatCode="#,##0.00000"/>
    <numFmt numFmtId="166" formatCode="_-* #,##0.000\ _₽_-;\-* #,##0.000\ _₽_-;_-* &quot;-&quot;???\ _₽_-;_-@_-"/>
    <numFmt numFmtId="167" formatCode="_-* #,##0.00_р_._-;\-* #,##0.00_р_._-;_-* &quot;-&quot;??_р_._-;_-@_-"/>
    <numFmt numFmtId="168" formatCode="#,##0.0"/>
    <numFmt numFmtId="169" formatCode="_-* #,##0_р_._-;\-* #,##0_р_._-;_-* &quot;-&quot;??_р_._-;_-@_-"/>
  </numFmts>
  <fonts count="3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Verdana"/>
      <family val="2"/>
      <charset val="204"/>
    </font>
    <font>
      <b/>
      <sz val="14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2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</borders>
  <cellStyleXfs count="8">
    <xf numFmtId="0" fontId="0" fillId="0" borderId="0"/>
    <xf numFmtId="0" fontId="6" fillId="0" borderId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8" fillId="0" borderId="0"/>
    <xf numFmtId="167" fontId="8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Fill="1"/>
    <xf numFmtId="164" fontId="0" fillId="0" borderId="0" xfId="0" applyNumberFormat="1"/>
    <xf numFmtId="4" fontId="1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4" fontId="1" fillId="2" borderId="0" xfId="0" applyNumberFormat="1" applyFont="1" applyFill="1" applyBorder="1" applyAlignment="1">
      <alignment horizontal="center" vertical="center"/>
    </xf>
    <xf numFmtId="43" fontId="0" fillId="0" borderId="0" xfId="3" applyFont="1" applyFill="1" applyAlignment="1">
      <alignment vertical="center"/>
    </xf>
    <xf numFmtId="166" fontId="0" fillId="0" borderId="0" xfId="0" applyNumberFormat="1" applyFill="1"/>
    <xf numFmtId="9" fontId="0" fillId="0" borderId="0" xfId="4" applyFont="1" applyFill="1"/>
    <xf numFmtId="0" fontId="5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1" fillId="0" borderId="9" xfId="1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 wrapText="1"/>
    </xf>
    <xf numFmtId="4" fontId="1" fillId="0" borderId="9" xfId="2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4" fontId="1" fillId="0" borderId="12" xfId="1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3" xfId="0" applyBorder="1"/>
    <xf numFmtId="164" fontId="1" fillId="0" borderId="13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164" fontId="12" fillId="6" borderId="0" xfId="0" applyNumberFormat="1" applyFont="1" applyFill="1" applyBorder="1" applyAlignment="1">
      <alignment horizontal="center" vertical="center"/>
    </xf>
    <xf numFmtId="164" fontId="0" fillId="0" borderId="0" xfId="0" applyNumberFormat="1" applyBorder="1"/>
    <xf numFmtId="4" fontId="1" fillId="0" borderId="15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 vertical="center"/>
    </xf>
    <xf numFmtId="4" fontId="4" fillId="2" borderId="14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0" fillId="0" borderId="0" xfId="0" applyNumberFormat="1" applyBorder="1"/>
    <xf numFmtId="0" fontId="5" fillId="2" borderId="9" xfId="0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43" fontId="0" fillId="0" borderId="0" xfId="0" applyNumberFormat="1" applyFill="1"/>
    <xf numFmtId="4" fontId="5" fillId="2" borderId="17" xfId="0" applyNumberFormat="1" applyFont="1" applyFill="1" applyBorder="1" applyAlignment="1">
      <alignment horizontal="center" vertical="center"/>
    </xf>
    <xf numFmtId="3" fontId="5" fillId="9" borderId="17" xfId="0" applyNumberFormat="1" applyFont="1" applyFill="1" applyBorder="1" applyAlignment="1">
      <alignment horizontal="center" vertical="center"/>
    </xf>
    <xf numFmtId="4" fontId="5" fillId="7" borderId="17" xfId="0" applyNumberFormat="1" applyFont="1" applyFill="1" applyBorder="1" applyAlignment="1">
      <alignment horizontal="center" vertical="center"/>
    </xf>
    <xf numFmtId="3" fontId="5" fillId="10" borderId="17" xfId="0" applyNumberFormat="1" applyFont="1" applyFill="1" applyBorder="1" applyAlignment="1">
      <alignment horizontal="center" vertical="center"/>
    </xf>
    <xf numFmtId="3" fontId="1" fillId="9" borderId="17" xfId="0" applyNumberFormat="1" applyFont="1" applyFill="1" applyBorder="1" applyAlignment="1">
      <alignment horizontal="center" vertical="center"/>
    </xf>
    <xf numFmtId="4" fontId="17" fillId="2" borderId="17" xfId="0" applyNumberFormat="1" applyFont="1" applyFill="1" applyBorder="1" applyAlignment="1">
      <alignment horizontal="center" vertical="center"/>
    </xf>
    <xf numFmtId="3" fontId="17" fillId="9" borderId="17" xfId="0" applyNumberFormat="1" applyFont="1" applyFill="1" applyBorder="1" applyAlignment="1">
      <alignment horizontal="center" vertical="center"/>
    </xf>
    <xf numFmtId="3" fontId="17" fillId="10" borderId="17" xfId="0" applyNumberFormat="1" applyFont="1" applyFill="1" applyBorder="1" applyAlignment="1">
      <alignment horizontal="center" vertical="center"/>
    </xf>
    <xf numFmtId="4" fontId="5" fillId="9" borderId="17" xfId="0" applyNumberFormat="1" applyFont="1" applyFill="1" applyBorder="1" applyAlignment="1">
      <alignment horizontal="center" vertical="center" wrapText="1"/>
    </xf>
    <xf numFmtId="4" fontId="5" fillId="7" borderId="17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16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1" fillId="0" borderId="0" xfId="1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wrapText="1"/>
    </xf>
    <xf numFmtId="4" fontId="5" fillId="7" borderId="12" xfId="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" fontId="1" fillId="0" borderId="23" xfId="0" applyNumberFormat="1" applyFont="1" applyFill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center" vertical="center"/>
    </xf>
    <xf numFmtId="4" fontId="5" fillId="0" borderId="24" xfId="0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center" vertical="center"/>
    </xf>
    <xf numFmtId="4" fontId="5" fillId="0" borderId="23" xfId="0" applyNumberFormat="1" applyFont="1" applyFill="1" applyBorder="1" applyAlignment="1">
      <alignment horizontal="center" vertical="center"/>
    </xf>
    <xf numFmtId="4" fontId="5" fillId="7" borderId="24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" fontId="0" fillId="0" borderId="0" xfId="0" applyNumberFormat="1"/>
    <xf numFmtId="0" fontId="19" fillId="0" borderId="0" xfId="0" applyFont="1"/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21" fillId="0" borderId="0" xfId="0" applyFont="1"/>
    <xf numFmtId="3" fontId="1" fillId="12" borderId="9" xfId="0" applyNumberFormat="1" applyFont="1" applyFill="1" applyBorder="1" applyAlignment="1">
      <alignment horizontal="center" vertical="center"/>
    </xf>
    <xf numFmtId="4" fontId="1" fillId="12" borderId="9" xfId="0" applyNumberFormat="1" applyFont="1" applyFill="1" applyBorder="1" applyAlignment="1">
      <alignment horizontal="center" vertical="center"/>
    </xf>
    <xf numFmtId="3" fontId="1" fillId="12" borderId="0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 wrapText="1"/>
    </xf>
    <xf numFmtId="0" fontId="20" fillId="0" borderId="0" xfId="0" applyFont="1"/>
    <xf numFmtId="4" fontId="1" fillId="0" borderId="10" xfId="0" applyNumberFormat="1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13" borderId="0" xfId="0" applyFill="1"/>
    <xf numFmtId="0" fontId="1" fillId="13" borderId="9" xfId="0" applyFont="1" applyFill="1" applyBorder="1" applyAlignment="1">
      <alignment horizontal="center" vertical="center" wrapText="1"/>
    </xf>
    <xf numFmtId="4" fontId="1" fillId="13" borderId="0" xfId="0" applyNumberFormat="1" applyFont="1" applyFill="1" applyBorder="1" applyAlignment="1">
      <alignment horizontal="center" vertical="center"/>
    </xf>
    <xf numFmtId="0" fontId="0" fillId="8" borderId="0" xfId="0" applyFill="1"/>
    <xf numFmtId="0" fontId="5" fillId="8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22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left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23" fillId="0" borderId="0" xfId="0" applyFont="1"/>
    <xf numFmtId="164" fontId="5" fillId="12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/>
    </xf>
    <xf numFmtId="4" fontId="24" fillId="2" borderId="9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/>
    </xf>
    <xf numFmtId="4" fontId="1" fillId="0" borderId="23" xfId="1" applyNumberFormat="1" applyFont="1" applyFill="1" applyBorder="1" applyAlignment="1">
      <alignment horizontal="center" vertical="center"/>
    </xf>
    <xf numFmtId="0" fontId="25" fillId="14" borderId="0" xfId="0" applyFont="1" applyFill="1" applyAlignment="1">
      <alignment horizontal="center" vertical="center"/>
    </xf>
    <xf numFmtId="4" fontId="25" fillId="14" borderId="0" xfId="0" applyNumberFormat="1" applyFont="1" applyFill="1" applyBorder="1" applyAlignment="1">
      <alignment horizontal="center" vertical="center"/>
    </xf>
    <xf numFmtId="4" fontId="11" fillId="15" borderId="9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4" fontId="24" fillId="2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left" vertical="center"/>
    </xf>
    <xf numFmtId="164" fontId="24" fillId="0" borderId="0" xfId="0" applyNumberFormat="1" applyFont="1" applyFill="1" applyBorder="1" applyAlignment="1">
      <alignment horizontal="left" vertical="center"/>
    </xf>
    <xf numFmtId="4" fontId="5" fillId="8" borderId="0" xfId="0" applyNumberFormat="1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/>
    </xf>
    <xf numFmtId="4" fontId="1" fillId="3" borderId="23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 vertical="center"/>
    </xf>
    <xf numFmtId="4" fontId="1" fillId="3" borderId="23" xfId="1" applyNumberFormat="1" applyFont="1" applyFill="1" applyBorder="1" applyAlignment="1">
      <alignment horizontal="center" vertical="center"/>
    </xf>
    <xf numFmtId="4" fontId="1" fillId="8" borderId="9" xfId="0" applyNumberFormat="1" applyFont="1" applyFill="1" applyBorder="1" applyAlignment="1">
      <alignment horizontal="center" vertical="center"/>
    </xf>
    <xf numFmtId="4" fontId="5" fillId="8" borderId="9" xfId="0" applyNumberFormat="1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/>
    </xf>
    <xf numFmtId="4" fontId="11" fillId="15" borderId="0" xfId="0" applyNumberFormat="1" applyFont="1" applyFill="1" applyBorder="1" applyAlignment="1">
      <alignment horizontal="center" vertical="center"/>
    </xf>
    <xf numFmtId="4" fontId="1" fillId="8" borderId="0" xfId="0" applyNumberFormat="1" applyFont="1" applyFill="1" applyBorder="1" applyAlignment="1">
      <alignment horizontal="center" vertical="center"/>
    </xf>
    <xf numFmtId="4" fontId="25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4" fontId="27" fillId="0" borderId="0" xfId="0" applyNumberFormat="1" applyFont="1"/>
    <xf numFmtId="4" fontId="28" fillId="0" borderId="9" xfId="0" applyNumberFormat="1" applyFont="1" applyFill="1" applyBorder="1" applyAlignment="1">
      <alignment horizontal="center" vertical="center"/>
    </xf>
    <xf numFmtId="3" fontId="1" fillId="16" borderId="0" xfId="0" applyNumberFormat="1" applyFont="1" applyFill="1" applyBorder="1" applyAlignment="1">
      <alignment horizontal="center" vertical="center"/>
    </xf>
    <xf numFmtId="0" fontId="0" fillId="16" borderId="0" xfId="0" applyFill="1"/>
    <xf numFmtId="3" fontId="1" fillId="14" borderId="0" xfId="0" applyNumberFormat="1" applyFont="1" applyFill="1" applyBorder="1" applyAlignment="1">
      <alignment horizontal="center" vertical="center"/>
    </xf>
    <xf numFmtId="0" fontId="0" fillId="14" borderId="0" xfId="0" applyFill="1"/>
    <xf numFmtId="4" fontId="1" fillId="2" borderId="17" xfId="0" applyNumberFormat="1" applyFont="1" applyFill="1" applyBorder="1" applyAlignment="1">
      <alignment horizontal="center" vertical="center"/>
    </xf>
    <xf numFmtId="4" fontId="1" fillId="2" borderId="17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wrapText="1"/>
    </xf>
    <xf numFmtId="4" fontId="5" fillId="9" borderId="17" xfId="0" applyNumberFormat="1" applyFont="1" applyFill="1" applyBorder="1" applyAlignment="1">
      <alignment horizontal="center" vertical="center" wrapText="1"/>
    </xf>
    <xf numFmtId="4" fontId="5" fillId="7" borderId="17" xfId="0" applyNumberFormat="1" applyFont="1" applyFill="1" applyBorder="1" applyAlignment="1">
      <alignment horizontal="center" vertical="center" wrapText="1"/>
    </xf>
    <xf numFmtId="168" fontId="5" fillId="7" borderId="17" xfId="0" applyNumberFormat="1" applyFont="1" applyFill="1" applyBorder="1" applyAlignment="1">
      <alignment horizontal="center" vertical="center"/>
    </xf>
    <xf numFmtId="3" fontId="5" fillId="17" borderId="17" xfId="0" applyNumberFormat="1" applyFont="1" applyFill="1" applyBorder="1" applyAlignment="1">
      <alignment horizontal="center" vertical="center"/>
    </xf>
    <xf numFmtId="3" fontId="5" fillId="0" borderId="17" xfId="0" applyNumberFormat="1" applyFont="1" applyFill="1" applyBorder="1" applyAlignment="1">
      <alignment horizontal="center" vertical="center"/>
    </xf>
    <xf numFmtId="3" fontId="5" fillId="7" borderId="17" xfId="0" applyNumberFormat="1" applyFont="1" applyFill="1" applyBorder="1" applyAlignment="1">
      <alignment horizontal="center" vertical="center"/>
    </xf>
    <xf numFmtId="168" fontId="0" fillId="0" borderId="0" xfId="0" applyNumberFormat="1"/>
    <xf numFmtId="0" fontId="30" fillId="0" borderId="0" xfId="0" applyFont="1"/>
    <xf numFmtId="168" fontId="17" fillId="7" borderId="17" xfId="0" applyNumberFormat="1" applyFont="1" applyFill="1" applyBorder="1" applyAlignment="1">
      <alignment horizontal="center" vertical="center"/>
    </xf>
    <xf numFmtId="3" fontId="17" fillId="17" borderId="17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10" fontId="17" fillId="0" borderId="17" xfId="0" applyNumberFormat="1" applyFont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168" fontId="1" fillId="7" borderId="17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169" fontId="1" fillId="5" borderId="17" xfId="7" applyNumberFormat="1" applyFont="1" applyFill="1" applyBorder="1" applyAlignment="1">
      <alignment horizontal="center" vertical="center"/>
    </xf>
    <xf numFmtId="4" fontId="11" fillId="11" borderId="17" xfId="7" applyNumberFormat="1" applyFont="1" applyFill="1" applyBorder="1"/>
    <xf numFmtId="168" fontId="17" fillId="18" borderId="17" xfId="7" applyNumberFormat="1" applyFont="1" applyFill="1" applyBorder="1"/>
    <xf numFmtId="168" fontId="17" fillId="19" borderId="17" xfId="7" applyNumberFormat="1" applyFont="1" applyFill="1" applyBorder="1"/>
    <xf numFmtId="4" fontId="1" fillId="2" borderId="17" xfId="0" applyNumberFormat="1" applyFont="1" applyFill="1" applyBorder="1" applyAlignment="1">
      <alignment horizontal="center" vertical="center"/>
    </xf>
    <xf numFmtId="168" fontId="17" fillId="18" borderId="17" xfId="0" applyNumberFormat="1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0" fillId="0" borderId="9" xfId="0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4" fontId="26" fillId="0" borderId="17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4" fontId="1" fillId="0" borderId="10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6" fillId="12" borderId="14" xfId="0" applyFont="1" applyFill="1" applyBorder="1" applyAlignment="1">
      <alignment horizontal="center" vertical="center" wrapText="1"/>
    </xf>
    <xf numFmtId="0" fontId="26" fillId="12" borderId="0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4" fontId="17" fillId="9" borderId="18" xfId="0" applyNumberFormat="1" applyFont="1" applyFill="1" applyBorder="1" applyAlignment="1">
      <alignment horizontal="center" vertical="center" wrapText="1"/>
    </xf>
    <xf numFmtId="4" fontId="17" fillId="9" borderId="2" xfId="0" applyNumberFormat="1" applyFont="1" applyFill="1" applyBorder="1" applyAlignment="1">
      <alignment horizontal="center" vertical="center" wrapText="1"/>
    </xf>
    <xf numFmtId="4" fontId="17" fillId="9" borderId="3" xfId="0" applyNumberFormat="1" applyFont="1" applyFill="1" applyBorder="1" applyAlignment="1">
      <alignment horizontal="center" vertical="center" wrapText="1"/>
    </xf>
    <xf numFmtId="4" fontId="17" fillId="18" borderId="25" xfId="0" applyNumberFormat="1" applyFont="1" applyFill="1" applyBorder="1" applyAlignment="1">
      <alignment horizontal="center" vertical="center" wrapText="1"/>
    </xf>
    <xf numFmtId="4" fontId="17" fillId="18" borderId="1" xfId="0" applyNumberFormat="1" applyFont="1" applyFill="1" applyBorder="1" applyAlignment="1">
      <alignment horizontal="center" vertical="center" wrapText="1"/>
    </xf>
    <xf numFmtId="4" fontId="17" fillId="18" borderId="26" xfId="0" applyNumberFormat="1" applyFont="1" applyFill="1" applyBorder="1" applyAlignment="1">
      <alignment horizontal="center" vertical="center" wrapText="1"/>
    </xf>
    <xf numFmtId="0" fontId="17" fillId="19" borderId="19" xfId="0" applyFont="1" applyFill="1" applyBorder="1" applyAlignment="1">
      <alignment horizontal="center" vertical="center" wrapText="1"/>
    </xf>
    <xf numFmtId="0" fontId="17" fillId="19" borderId="13" xfId="0" applyFont="1" applyFill="1" applyBorder="1" applyAlignment="1">
      <alignment horizontal="center" vertical="center" wrapText="1"/>
    </xf>
    <xf numFmtId="0" fontId="17" fillId="19" borderId="20" xfId="0" applyFont="1" applyFill="1" applyBorder="1" applyAlignment="1">
      <alignment horizontal="center" vertical="center" wrapText="1"/>
    </xf>
    <xf numFmtId="4" fontId="17" fillId="9" borderId="18" xfId="0" applyNumberFormat="1" applyFont="1" applyFill="1" applyBorder="1" applyAlignment="1">
      <alignment horizontal="center" vertical="center"/>
    </xf>
    <xf numFmtId="4" fontId="17" fillId="9" borderId="2" xfId="0" applyNumberFormat="1" applyFont="1" applyFill="1" applyBorder="1" applyAlignment="1">
      <alignment horizontal="center" vertical="center"/>
    </xf>
    <xf numFmtId="4" fontId="17" fillId="9" borderId="3" xfId="0" applyNumberFormat="1" applyFont="1" applyFill="1" applyBorder="1" applyAlignment="1">
      <alignment horizontal="center" vertical="center"/>
    </xf>
    <xf numFmtId="4" fontId="17" fillId="10" borderId="18" xfId="0" applyNumberFormat="1" applyFont="1" applyFill="1" applyBorder="1" applyAlignment="1">
      <alignment horizontal="center" vertical="center"/>
    </xf>
    <xf numFmtId="4" fontId="17" fillId="10" borderId="2" xfId="0" applyNumberFormat="1" applyFont="1" applyFill="1" applyBorder="1" applyAlignment="1">
      <alignment horizontal="center" vertical="center"/>
    </xf>
    <xf numFmtId="4" fontId="17" fillId="10" borderId="3" xfId="0" applyNumberFormat="1" applyFont="1" applyFill="1" applyBorder="1" applyAlignment="1">
      <alignment horizontal="center" vertical="center"/>
    </xf>
    <xf numFmtId="4" fontId="5" fillId="17" borderId="17" xfId="0" applyNumberFormat="1" applyFont="1" applyFill="1" applyBorder="1" applyAlignment="1">
      <alignment horizontal="center" vertical="center" wrapText="1"/>
    </xf>
    <xf numFmtId="4" fontId="5" fillId="7" borderId="17" xfId="0" applyNumberFormat="1" applyFont="1" applyFill="1" applyBorder="1" applyAlignment="1">
      <alignment horizontal="center" vertical="center" wrapText="1"/>
    </xf>
    <xf numFmtId="4" fontId="5" fillId="9" borderId="17" xfId="0" applyNumberFormat="1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4" fontId="17" fillId="17" borderId="18" xfId="0" applyNumberFormat="1" applyFont="1" applyFill="1" applyBorder="1" applyAlignment="1">
      <alignment horizontal="center" vertical="center" wrapText="1"/>
    </xf>
    <xf numFmtId="4" fontId="17" fillId="17" borderId="2" xfId="0" applyNumberFormat="1" applyFont="1" applyFill="1" applyBorder="1" applyAlignment="1">
      <alignment horizontal="center" vertical="center" wrapText="1"/>
    </xf>
    <xf numFmtId="4" fontId="17" fillId="17" borderId="3" xfId="0" applyNumberFormat="1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4" fontId="5" fillId="10" borderId="17" xfId="0" applyNumberFormat="1" applyFont="1" applyFill="1" applyBorder="1" applyAlignment="1">
      <alignment horizontal="center" vertical="center" wrapText="1"/>
    </xf>
    <xf numFmtId="4" fontId="5" fillId="9" borderId="25" xfId="0" applyNumberFormat="1" applyFont="1" applyFill="1" applyBorder="1" applyAlignment="1">
      <alignment horizontal="center" vertical="center" wrapText="1"/>
    </xf>
    <xf numFmtId="4" fontId="5" fillId="9" borderId="26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/>
    </xf>
    <xf numFmtId="4" fontId="5" fillId="2" borderId="26" xfId="0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4" fontId="5" fillId="5" borderId="25" xfId="0" applyNumberFormat="1" applyFont="1" applyFill="1" applyBorder="1" applyAlignment="1">
      <alignment horizontal="center" vertical="center" wrapText="1"/>
    </xf>
    <xf numFmtId="4" fontId="5" fillId="5" borderId="26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31" fillId="9" borderId="18" xfId="0" applyNumberFormat="1" applyFont="1" applyFill="1" applyBorder="1" applyAlignment="1">
      <alignment horizontal="center" vertical="center" wrapText="1"/>
    </xf>
    <xf numFmtId="4" fontId="31" fillId="9" borderId="2" xfId="0" applyNumberFormat="1" applyFont="1" applyFill="1" applyBorder="1" applyAlignment="1">
      <alignment horizontal="center" vertical="center" wrapText="1"/>
    </xf>
    <xf numFmtId="4" fontId="31" fillId="9" borderId="3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4" fontId="31" fillId="5" borderId="18" xfId="0" applyNumberFormat="1" applyFont="1" applyFill="1" applyBorder="1" applyAlignment="1">
      <alignment horizontal="center" vertical="center" wrapText="1"/>
    </xf>
    <xf numFmtId="4" fontId="31" fillId="5" borderId="2" xfId="0" applyNumberFormat="1" applyFont="1" applyFill="1" applyBorder="1" applyAlignment="1">
      <alignment horizontal="center" vertical="center" wrapText="1"/>
    </xf>
    <xf numFmtId="4" fontId="31" fillId="5" borderId="3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/>
    </xf>
    <xf numFmtId="4" fontId="1" fillId="0" borderId="30" xfId="0" applyNumberFormat="1" applyFont="1" applyFill="1" applyBorder="1" applyAlignment="1">
      <alignment horizontal="center" vertical="center"/>
    </xf>
    <xf numFmtId="4" fontId="1" fillId="0" borderId="28" xfId="0" applyNumberFormat="1" applyFont="1" applyFill="1" applyBorder="1" applyAlignment="1">
      <alignment horizontal="center" vertical="center"/>
    </xf>
    <xf numFmtId="4" fontId="1" fillId="0" borderId="31" xfId="0" applyNumberFormat="1" applyFont="1" applyFill="1" applyBorder="1" applyAlignment="1">
      <alignment horizontal="center" vertical="center"/>
    </xf>
    <xf numFmtId="4" fontId="1" fillId="0" borderId="29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textRotation="90" wrapText="1"/>
    </xf>
    <xf numFmtId="0" fontId="1" fillId="0" borderId="28" xfId="0" applyFont="1" applyFill="1" applyBorder="1" applyAlignment="1">
      <alignment horizontal="center" vertical="center" textRotation="90" wrapText="1"/>
    </xf>
    <xf numFmtId="0" fontId="1" fillId="0" borderId="29" xfId="0" applyFont="1" applyFill="1" applyBorder="1" applyAlignment="1">
      <alignment horizontal="center" vertical="center" textRotation="90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26" fillId="0" borderId="8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3 2" xfId="1"/>
    <cellStyle name="Обычный 5" xfId="6"/>
    <cellStyle name="Процентный" xfId="4" builtinId="5"/>
    <cellStyle name="Финансовый" xfId="3" builtinId="3"/>
    <cellStyle name="Финансовый 2" xfId="2"/>
    <cellStyle name="Финансовый 2 2" xfId="5"/>
    <cellStyle name="Финансовый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M48"/>
  <sheetViews>
    <sheetView view="pageBreakPreview" zoomScale="70" zoomScaleNormal="55" zoomScaleSheetLayoutView="70" workbookViewId="0">
      <pane xSplit="5" ySplit="10" topLeftCell="F11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28.8554687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</row>
    <row r="3" spans="1:39" ht="15.75" customHeight="1" x14ac:dyDescent="0.25">
      <c r="A3" s="247" t="s">
        <v>0</v>
      </c>
      <c r="B3" s="243" t="s">
        <v>1</v>
      </c>
      <c r="C3" s="248" t="s">
        <v>2</v>
      </c>
      <c r="D3" s="248"/>
      <c r="E3" s="10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4</v>
      </c>
      <c r="AF3" s="243" t="s">
        <v>5</v>
      </c>
      <c r="AG3" s="244" t="s">
        <v>6</v>
      </c>
    </row>
    <row r="4" spans="1:39" ht="15.75" customHeight="1" x14ac:dyDescent="0.25">
      <c r="A4" s="238"/>
      <c r="B4" s="242"/>
      <c r="C4" s="249" t="s">
        <v>7</v>
      </c>
      <c r="D4" s="249" t="s">
        <v>8</v>
      </c>
      <c r="E4" s="249" t="s">
        <v>9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  <c r="AF4" s="242"/>
      <c r="AG4" s="245"/>
    </row>
    <row r="5" spans="1:39" ht="15" customHeight="1" x14ac:dyDescent="0.25">
      <c r="A5" s="238"/>
      <c r="B5" s="242"/>
      <c r="C5" s="249"/>
      <c r="D5" s="249"/>
      <c r="E5" s="249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  <c r="AF5" s="242"/>
      <c r="AG5" s="245"/>
    </row>
    <row r="6" spans="1:39" ht="15.75" x14ac:dyDescent="0.25">
      <c r="A6" s="238"/>
      <c r="B6" s="242"/>
      <c r="C6" s="249"/>
      <c r="D6" s="249"/>
      <c r="E6" s="249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  <c r="AF6" s="242"/>
      <c r="AG6" s="245"/>
    </row>
    <row r="7" spans="1:39" ht="15" customHeight="1" x14ac:dyDescent="0.25">
      <c r="A7" s="238"/>
      <c r="B7" s="242"/>
      <c r="C7" s="249"/>
      <c r="D7" s="249"/>
      <c r="E7" s="249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  <c r="AF7" s="242"/>
      <c r="AG7" s="245"/>
    </row>
    <row r="8" spans="1:39" ht="15.75" x14ac:dyDescent="0.25">
      <c r="A8" s="238"/>
      <c r="B8" s="242"/>
      <c r="C8" s="249"/>
      <c r="D8" s="249"/>
      <c r="E8" s="249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  <c r="AF8" s="242"/>
      <c r="AG8" s="245"/>
    </row>
    <row r="9" spans="1:39" ht="94.5" x14ac:dyDescent="0.25">
      <c r="A9" s="238"/>
      <c r="B9" s="242"/>
      <c r="C9" s="249"/>
      <c r="D9" s="249"/>
      <c r="E9" s="249"/>
      <c r="F9" s="246"/>
      <c r="G9" s="246"/>
      <c r="H9" s="242"/>
      <c r="I9" s="242"/>
      <c r="J9" s="242"/>
      <c r="K9" s="242"/>
      <c r="L9" s="242"/>
      <c r="M9" s="246"/>
      <c r="N9" s="11" t="s">
        <v>33</v>
      </c>
      <c r="O9" s="11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  <c r="AF9" s="242"/>
      <c r="AG9" s="245"/>
      <c r="AH9" s="44" t="s">
        <v>67</v>
      </c>
      <c r="AI9" s="45" t="s">
        <v>66</v>
      </c>
    </row>
    <row r="10" spans="1:39" ht="15.75" x14ac:dyDescent="0.25">
      <c r="A10" s="12">
        <v>1</v>
      </c>
      <c r="B10" s="13">
        <v>2</v>
      </c>
      <c r="C10" s="72">
        <v>3</v>
      </c>
      <c r="D10" s="78">
        <v>4</v>
      </c>
      <c r="E10" s="72">
        <v>5</v>
      </c>
      <c r="F10" s="78">
        <v>6</v>
      </c>
      <c r="G10" s="72">
        <v>7</v>
      </c>
      <c r="H10" s="78">
        <v>8</v>
      </c>
      <c r="I10" s="72">
        <v>9</v>
      </c>
      <c r="J10" s="78">
        <v>10</v>
      </c>
      <c r="K10" s="72">
        <v>11</v>
      </c>
      <c r="L10" s="78">
        <v>12</v>
      </c>
      <c r="M10" s="72">
        <v>13</v>
      </c>
      <c r="N10" s="78">
        <v>14</v>
      </c>
      <c r="O10" s="72">
        <v>15</v>
      </c>
      <c r="P10" s="78">
        <v>16</v>
      </c>
      <c r="Q10" s="72">
        <v>17</v>
      </c>
      <c r="R10" s="78">
        <v>18</v>
      </c>
      <c r="S10" s="72">
        <v>19</v>
      </c>
      <c r="T10" s="78">
        <v>20</v>
      </c>
      <c r="U10" s="72">
        <v>21</v>
      </c>
      <c r="V10" s="78">
        <v>22</v>
      </c>
      <c r="W10" s="72">
        <v>23</v>
      </c>
      <c r="X10" s="78">
        <v>24</v>
      </c>
      <c r="Y10" s="72">
        <v>25</v>
      </c>
      <c r="Z10" s="78">
        <v>26</v>
      </c>
      <c r="AA10" s="72">
        <v>27</v>
      </c>
      <c r="AB10" s="78">
        <v>28</v>
      </c>
      <c r="AC10" s="72">
        <v>29</v>
      </c>
      <c r="AD10" s="78">
        <v>30</v>
      </c>
      <c r="AE10" s="72">
        <v>31</v>
      </c>
      <c r="AF10" s="78">
        <v>32</v>
      </c>
      <c r="AG10" s="15"/>
      <c r="AH10" s="46"/>
    </row>
    <row r="11" spans="1:39" s="1" customFormat="1" ht="94.5" x14ac:dyDescent="0.25">
      <c r="A11" s="16" t="s">
        <v>35</v>
      </c>
      <c r="B11" s="17" t="s">
        <v>36</v>
      </c>
      <c r="C11" s="17" t="s">
        <v>37</v>
      </c>
      <c r="D11" s="18" t="s">
        <v>38</v>
      </c>
      <c r="E11" s="19">
        <v>105645</v>
      </c>
      <c r="F11" s="20">
        <f t="shared" ref="F11:F41" si="0">SUM(G11,M11,Q11,R11,S11,T11,V11,W11,X11,AD11,P11,U11)</f>
        <v>3723.4850000000001</v>
      </c>
      <c r="G11" s="20">
        <f t="shared" ref="G11:G41" si="1">SUM(H11:L11)</f>
        <v>1589.5900000000001</v>
      </c>
      <c r="H11" s="21">
        <v>1220.8800000000001</v>
      </c>
      <c r="I11" s="22">
        <v>0</v>
      </c>
      <c r="J11" s="22">
        <v>0</v>
      </c>
      <c r="K11" s="20">
        <f t="shared" ref="K11:K41" si="2">ROUND(H11*0.302,2)</f>
        <v>368.71</v>
      </c>
      <c r="L11" s="22">
        <v>0</v>
      </c>
      <c r="M11" s="22">
        <v>183.42</v>
      </c>
      <c r="N11" s="22">
        <v>0</v>
      </c>
      <c r="O11" s="22">
        <v>57.6</v>
      </c>
      <c r="P11" s="22">
        <v>0</v>
      </c>
      <c r="Q11" s="22">
        <v>0.94</v>
      </c>
      <c r="R11" s="21">
        <f>178.3-8.722</f>
        <v>169.578</v>
      </c>
      <c r="S11" s="22">
        <v>80.739999999999995</v>
      </c>
      <c r="T11" s="22">
        <f>536.1-193.554-4.129</f>
        <v>338.41700000000003</v>
      </c>
      <c r="U11" s="22">
        <v>0</v>
      </c>
      <c r="V11" s="22">
        <v>16.29</v>
      </c>
      <c r="W11" s="22">
        <v>0</v>
      </c>
      <c r="X11" s="20">
        <f t="shared" ref="X11:X41" si="3">SUM(Y11:AC11)</f>
        <v>1280.54</v>
      </c>
      <c r="Y11" s="22">
        <v>983.52</v>
      </c>
      <c r="Z11" s="22">
        <v>0</v>
      </c>
      <c r="AA11" s="22">
        <v>0</v>
      </c>
      <c r="AB11" s="20">
        <f t="shared" ref="AB11:AB41" si="4">ROUND(Y11*0.302,2)</f>
        <v>297.02</v>
      </c>
      <c r="AC11" s="22">
        <v>0</v>
      </c>
      <c r="AD11" s="22">
        <v>63.97</v>
      </c>
      <c r="AE11" s="20">
        <f t="shared" ref="AE11:AE41" si="5">ROUND(E11*F11/1000,1)</f>
        <v>393367.6</v>
      </c>
      <c r="AF11" s="22">
        <v>764</v>
      </c>
      <c r="AG11" s="241">
        <f>ROUND(AE11+AE12+AE13+AF11,1)</f>
        <v>410659.2</v>
      </c>
      <c r="AH11" s="47">
        <f>(G11+X11)*E11/1000</f>
        <v>303214.88385000004</v>
      </c>
      <c r="AI11" s="55">
        <v>303761.59672500001</v>
      </c>
      <c r="AJ11" s="6"/>
      <c r="AK11" s="55">
        <f>ROUND(AG11/1000,1)</f>
        <v>410.7</v>
      </c>
      <c r="AM11" s="8"/>
    </row>
    <row r="12" spans="1:39" s="1" customFormat="1" ht="78.75" x14ac:dyDescent="0.25">
      <c r="A12" s="16" t="s">
        <v>35</v>
      </c>
      <c r="B12" s="17" t="s">
        <v>39</v>
      </c>
      <c r="C12" s="17" t="s">
        <v>40</v>
      </c>
      <c r="D12" s="18" t="s">
        <v>38</v>
      </c>
      <c r="E12" s="19">
        <v>241</v>
      </c>
      <c r="F12" s="20">
        <f t="shared" si="0"/>
        <v>28605.63</v>
      </c>
      <c r="G12" s="20">
        <f t="shared" si="1"/>
        <v>24636.16</v>
      </c>
      <c r="H12" s="22">
        <v>18921.78</v>
      </c>
      <c r="I12" s="22">
        <v>0</v>
      </c>
      <c r="J12" s="22">
        <v>0</v>
      </c>
      <c r="K12" s="20">
        <f t="shared" si="2"/>
        <v>5714.38</v>
      </c>
      <c r="L12" s="22">
        <v>0</v>
      </c>
      <c r="M12" s="22">
        <v>189.48</v>
      </c>
      <c r="N12" s="22">
        <v>0</v>
      </c>
      <c r="O12" s="22">
        <v>34.67</v>
      </c>
      <c r="P12" s="22">
        <v>0</v>
      </c>
      <c r="Q12" s="22">
        <v>48.26</v>
      </c>
      <c r="R12" s="22">
        <v>102.89</v>
      </c>
      <c r="S12" s="22">
        <v>491.43</v>
      </c>
      <c r="T12" s="22">
        <v>208.81</v>
      </c>
      <c r="U12" s="22">
        <v>0</v>
      </c>
      <c r="V12" s="22">
        <v>11.49</v>
      </c>
      <c r="W12" s="22">
        <v>0</v>
      </c>
      <c r="X12" s="20">
        <f t="shared" si="3"/>
        <v>2422.62</v>
      </c>
      <c r="Y12" s="22">
        <v>1860.69</v>
      </c>
      <c r="Z12" s="22">
        <v>0</v>
      </c>
      <c r="AA12" s="22">
        <v>0</v>
      </c>
      <c r="AB12" s="20">
        <f t="shared" si="4"/>
        <v>561.92999999999995</v>
      </c>
      <c r="AC12" s="22">
        <v>0</v>
      </c>
      <c r="AD12" s="22">
        <v>494.49</v>
      </c>
      <c r="AE12" s="20">
        <f t="shared" si="5"/>
        <v>6894</v>
      </c>
      <c r="AF12" s="22">
        <v>0</v>
      </c>
      <c r="AG12" s="241"/>
      <c r="AH12" s="47">
        <f t="shared" ref="AH12:AH41" si="6">(G12+X12)*E12/1000</f>
        <v>6521.1659799999998</v>
      </c>
      <c r="AI12" s="55">
        <v>6532.9231650000002</v>
      </c>
      <c r="AJ12" s="6"/>
      <c r="AK12" s="7"/>
      <c r="AM12" s="8"/>
    </row>
    <row r="13" spans="1:39" s="1" customFormat="1" ht="78.75" x14ac:dyDescent="0.25">
      <c r="A13" s="23" t="s">
        <v>35</v>
      </c>
      <c r="B13" s="17" t="s">
        <v>41</v>
      </c>
      <c r="C13" s="24" t="s">
        <v>42</v>
      </c>
      <c r="D13" s="18" t="s">
        <v>38</v>
      </c>
      <c r="E13" s="19">
        <v>90</v>
      </c>
      <c r="F13" s="20">
        <f t="shared" si="0"/>
        <v>107039.45800000003</v>
      </c>
      <c r="G13" s="20">
        <f t="shared" si="1"/>
        <v>74208.350000000006</v>
      </c>
      <c r="H13" s="21">
        <v>56995.66</v>
      </c>
      <c r="I13" s="22">
        <v>0</v>
      </c>
      <c r="J13" s="22">
        <v>0</v>
      </c>
      <c r="K13" s="20">
        <f t="shared" si="2"/>
        <v>17212.689999999999</v>
      </c>
      <c r="L13" s="22">
        <v>0</v>
      </c>
      <c r="M13" s="22">
        <v>801.29</v>
      </c>
      <c r="N13" s="22">
        <v>0</v>
      </c>
      <c r="O13" s="22">
        <v>72.95</v>
      </c>
      <c r="P13" s="22">
        <v>0</v>
      </c>
      <c r="Q13" s="22">
        <f>10860.04-1662.222</f>
        <v>9197.8180000000011</v>
      </c>
      <c r="R13" s="22">
        <v>406.32</v>
      </c>
      <c r="S13" s="22">
        <v>1071.46</v>
      </c>
      <c r="T13" s="22">
        <f>12539.1-2500-1500</f>
        <v>8539.1</v>
      </c>
      <c r="U13" s="22">
        <v>0</v>
      </c>
      <c r="V13" s="22">
        <v>58.87</v>
      </c>
      <c r="W13" s="22">
        <v>0</v>
      </c>
      <c r="X13" s="20">
        <f t="shared" si="3"/>
        <v>10444.540000000001</v>
      </c>
      <c r="Y13" s="22">
        <v>8021.92</v>
      </c>
      <c r="Z13" s="22">
        <v>0</v>
      </c>
      <c r="AA13" s="22">
        <v>0</v>
      </c>
      <c r="AB13" s="20">
        <f t="shared" si="4"/>
        <v>2422.62</v>
      </c>
      <c r="AC13" s="22">
        <v>0</v>
      </c>
      <c r="AD13" s="22">
        <v>2311.71</v>
      </c>
      <c r="AE13" s="20">
        <f t="shared" si="5"/>
        <v>9633.6</v>
      </c>
      <c r="AF13" s="22">
        <v>0</v>
      </c>
      <c r="AG13" s="241"/>
      <c r="AH13" s="47">
        <f t="shared" si="6"/>
        <v>7618.7601000000013</v>
      </c>
      <c r="AI13" s="55">
        <v>7632.4994999999999</v>
      </c>
      <c r="AJ13" s="6"/>
      <c r="AK13" s="7"/>
      <c r="AM13" s="8"/>
    </row>
    <row r="14" spans="1:39" s="1" customFormat="1" ht="94.5" x14ac:dyDescent="0.25">
      <c r="A14" s="16" t="s">
        <v>43</v>
      </c>
      <c r="B14" s="17" t="s">
        <v>36</v>
      </c>
      <c r="C14" s="17" t="s">
        <v>37</v>
      </c>
      <c r="D14" s="17" t="s">
        <v>38</v>
      </c>
      <c r="E14" s="19">
        <v>48175</v>
      </c>
      <c r="F14" s="20">
        <f t="shared" si="0"/>
        <v>3900.0369999999998</v>
      </c>
      <c r="G14" s="20">
        <f t="shared" si="1"/>
        <v>1869.5500000000002</v>
      </c>
      <c r="H14" s="20">
        <v>1435.91</v>
      </c>
      <c r="I14" s="25">
        <v>0</v>
      </c>
      <c r="J14" s="25">
        <v>0</v>
      </c>
      <c r="K14" s="20">
        <f t="shared" si="2"/>
        <v>433.64</v>
      </c>
      <c r="L14" s="25">
        <v>0</v>
      </c>
      <c r="M14" s="21">
        <f>222.16+0.002-75.975</f>
        <v>146.18700000000001</v>
      </c>
      <c r="N14" s="20">
        <v>62.28</v>
      </c>
      <c r="O14" s="25">
        <v>3.21</v>
      </c>
      <c r="P14" s="26">
        <v>0</v>
      </c>
      <c r="Q14" s="25">
        <v>147.99</v>
      </c>
      <c r="R14" s="20">
        <f>278.9-80</f>
        <v>198.89999999999998</v>
      </c>
      <c r="S14" s="25">
        <f>115.22-50</f>
        <v>65.22</v>
      </c>
      <c r="T14" s="25">
        <v>94.58</v>
      </c>
      <c r="U14" s="20">
        <v>0</v>
      </c>
      <c r="V14" s="25">
        <v>19.53</v>
      </c>
      <c r="W14" s="25">
        <v>0</v>
      </c>
      <c r="X14" s="20">
        <f t="shared" si="3"/>
        <v>1209.68</v>
      </c>
      <c r="Y14" s="27">
        <v>929.09</v>
      </c>
      <c r="Z14" s="27">
        <v>0</v>
      </c>
      <c r="AA14" s="27">
        <v>0</v>
      </c>
      <c r="AB14" s="20">
        <f t="shared" si="4"/>
        <v>280.58999999999997</v>
      </c>
      <c r="AC14" s="25">
        <v>0</v>
      </c>
      <c r="AD14" s="25">
        <v>148.4</v>
      </c>
      <c r="AE14" s="20">
        <f t="shared" si="5"/>
        <v>187884.3</v>
      </c>
      <c r="AF14" s="25">
        <v>303.10000000000002</v>
      </c>
      <c r="AG14" s="237">
        <f>ROUND(AE14+AE15+AE16+AF14,1)</f>
        <v>195664.4</v>
      </c>
      <c r="AH14" s="47">
        <f t="shared" si="6"/>
        <v>148341.90525000004</v>
      </c>
      <c r="AI14" s="55">
        <v>148609.517375</v>
      </c>
      <c r="AJ14" s="6"/>
      <c r="AK14" s="55">
        <f>ROUND(AG14/1000,1)</f>
        <v>195.7</v>
      </c>
      <c r="AM14" s="8"/>
    </row>
    <row r="15" spans="1:39" s="1" customFormat="1" ht="78.75" x14ac:dyDescent="0.25">
      <c r="A15" s="16" t="s">
        <v>43</v>
      </c>
      <c r="B15" s="17" t="s">
        <v>39</v>
      </c>
      <c r="C15" s="17" t="s">
        <v>40</v>
      </c>
      <c r="D15" s="17" t="s">
        <v>38</v>
      </c>
      <c r="E15" s="19">
        <v>233</v>
      </c>
      <c r="F15" s="20">
        <f t="shared" si="0"/>
        <v>29296.207000000002</v>
      </c>
      <c r="G15" s="20">
        <f t="shared" si="1"/>
        <v>3810.9300000000003</v>
      </c>
      <c r="H15" s="20">
        <v>2926.98</v>
      </c>
      <c r="I15" s="25">
        <v>0</v>
      </c>
      <c r="J15" s="25">
        <v>0</v>
      </c>
      <c r="K15" s="20">
        <f t="shared" si="2"/>
        <v>883.95</v>
      </c>
      <c r="L15" s="25">
        <v>0</v>
      </c>
      <c r="M15" s="25">
        <v>6622.04</v>
      </c>
      <c r="N15" s="20">
        <v>5855.04</v>
      </c>
      <c r="O15" s="25">
        <v>663.14</v>
      </c>
      <c r="P15" s="26">
        <v>0</v>
      </c>
      <c r="Q15" s="25">
        <v>2374.46</v>
      </c>
      <c r="R15" s="20">
        <v>173.34</v>
      </c>
      <c r="S15" s="25">
        <v>106.16</v>
      </c>
      <c r="T15" s="25">
        <v>48.95</v>
      </c>
      <c r="U15" s="20">
        <v>0</v>
      </c>
      <c r="V15" s="25">
        <v>37.92</v>
      </c>
      <c r="W15" s="25">
        <f>15570.82-303.863</f>
        <v>15266.957</v>
      </c>
      <c r="X15" s="20">
        <f t="shared" si="3"/>
        <v>730.08</v>
      </c>
      <c r="Y15" s="27">
        <v>560.74</v>
      </c>
      <c r="Z15" s="27">
        <v>0</v>
      </c>
      <c r="AA15" s="27">
        <v>0</v>
      </c>
      <c r="AB15" s="20">
        <f t="shared" si="4"/>
        <v>169.34</v>
      </c>
      <c r="AC15" s="25">
        <v>0</v>
      </c>
      <c r="AD15" s="25">
        <v>125.37</v>
      </c>
      <c r="AE15" s="20">
        <f t="shared" si="5"/>
        <v>6826</v>
      </c>
      <c r="AF15" s="25">
        <v>0</v>
      </c>
      <c r="AG15" s="237"/>
      <c r="AH15" s="47">
        <f t="shared" si="6"/>
        <v>1058.0553300000001</v>
      </c>
      <c r="AI15" s="55">
        <v>1059.961969</v>
      </c>
      <c r="AJ15" s="6"/>
      <c r="AK15" s="7"/>
      <c r="AM15" s="8"/>
    </row>
    <row r="16" spans="1:39" s="1" customFormat="1" ht="78.75" x14ac:dyDescent="0.25">
      <c r="A16" s="16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0"/>
        <v>325511.30000000005</v>
      </c>
      <c r="G16" s="20">
        <f t="shared" si="1"/>
        <v>304655.01</v>
      </c>
      <c r="H16" s="20">
        <v>233990.02</v>
      </c>
      <c r="I16" s="20">
        <v>0</v>
      </c>
      <c r="J16" s="20">
        <v>0</v>
      </c>
      <c r="K16" s="20">
        <f t="shared" si="2"/>
        <v>70664.990000000005</v>
      </c>
      <c r="L16" s="20">
        <v>0</v>
      </c>
      <c r="M16" s="20">
        <f>37469.15-20550</f>
        <v>16919.150000000001</v>
      </c>
      <c r="N16" s="20">
        <v>0</v>
      </c>
      <c r="O16" s="20">
        <v>1719.15</v>
      </c>
      <c r="P16" s="20">
        <v>0</v>
      </c>
      <c r="Q16" s="20">
        <v>800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3"/>
        <v>2468.83</v>
      </c>
      <c r="Y16" s="20">
        <v>1896.18</v>
      </c>
      <c r="Z16" s="20">
        <v>0</v>
      </c>
      <c r="AA16" s="20">
        <v>0</v>
      </c>
      <c r="AB16" s="20">
        <f t="shared" si="4"/>
        <v>572.65</v>
      </c>
      <c r="AC16" s="25">
        <v>0</v>
      </c>
      <c r="AD16" s="25">
        <v>0</v>
      </c>
      <c r="AE16" s="20">
        <f t="shared" si="5"/>
        <v>651</v>
      </c>
      <c r="AF16" s="20">
        <v>0</v>
      </c>
      <c r="AG16" s="237"/>
      <c r="AH16" s="47">
        <f t="shared" si="6"/>
        <v>614.24768000000006</v>
      </c>
      <c r="AI16" s="55">
        <v>615.35543400000006</v>
      </c>
      <c r="AJ16" s="6"/>
      <c r="AK16" s="7"/>
      <c r="AM16" s="8"/>
    </row>
    <row r="17" spans="1:39" s="1" customFormat="1" ht="94.5" x14ac:dyDescent="0.25">
      <c r="A17" s="16" t="s">
        <v>44</v>
      </c>
      <c r="B17" s="17" t="s">
        <v>36</v>
      </c>
      <c r="C17" s="17" t="s">
        <v>37</v>
      </c>
      <c r="D17" s="17" t="s">
        <v>45</v>
      </c>
      <c r="E17" s="19">
        <v>81788</v>
      </c>
      <c r="F17" s="20">
        <f t="shared" si="0"/>
        <v>2621.4280000000003</v>
      </c>
      <c r="G17" s="20">
        <f t="shared" si="1"/>
        <v>1482.68</v>
      </c>
      <c r="H17" s="20">
        <v>1138.77</v>
      </c>
      <c r="I17" s="25">
        <v>0</v>
      </c>
      <c r="J17" s="25">
        <v>0</v>
      </c>
      <c r="K17" s="20">
        <f t="shared" si="2"/>
        <v>343.91</v>
      </c>
      <c r="L17" s="25">
        <v>0</v>
      </c>
      <c r="M17" s="21">
        <f>302.21-0.001-70</f>
        <v>232.209</v>
      </c>
      <c r="N17" s="25">
        <v>68.38</v>
      </c>
      <c r="O17" s="25">
        <v>52.79</v>
      </c>
      <c r="P17" s="26">
        <v>0</v>
      </c>
      <c r="Q17" s="25">
        <v>66.58</v>
      </c>
      <c r="R17" s="25">
        <v>79.959999999999994</v>
      </c>
      <c r="S17" s="25">
        <f>225.33-63.941</f>
        <v>161.38900000000001</v>
      </c>
      <c r="T17" s="25">
        <v>49.11</v>
      </c>
      <c r="U17" s="20">
        <v>0</v>
      </c>
      <c r="V17" s="25">
        <v>10.41</v>
      </c>
      <c r="W17" s="25">
        <v>0</v>
      </c>
      <c r="X17" s="20">
        <f t="shared" si="3"/>
        <v>519.68999999999994</v>
      </c>
      <c r="Y17" s="27">
        <v>399.15</v>
      </c>
      <c r="Z17" s="25">
        <v>0</v>
      </c>
      <c r="AA17" s="25">
        <v>0</v>
      </c>
      <c r="AB17" s="20">
        <f t="shared" si="4"/>
        <v>120.54</v>
      </c>
      <c r="AC17" s="25">
        <v>0</v>
      </c>
      <c r="AD17" s="25">
        <v>19.399999999999999</v>
      </c>
      <c r="AE17" s="20">
        <f t="shared" si="5"/>
        <v>214401.4</v>
      </c>
      <c r="AF17" s="25">
        <v>408.5</v>
      </c>
      <c r="AG17" s="237">
        <f>ROUND(AE17+AE18+AE19+AF17,1)</f>
        <v>220495</v>
      </c>
      <c r="AH17" s="47">
        <f t="shared" si="6"/>
        <v>163769.83756000001</v>
      </c>
      <c r="AI17" s="55">
        <v>164065.17402799998</v>
      </c>
      <c r="AJ17" s="6"/>
      <c r="AK17" s="55">
        <f>ROUND(AG17/1000,1)</f>
        <v>220.5</v>
      </c>
      <c r="AM17" s="8"/>
    </row>
    <row r="18" spans="1:39" s="1" customFormat="1" ht="78.75" x14ac:dyDescent="0.25">
      <c r="A18" s="16" t="s">
        <v>44</v>
      </c>
      <c r="B18" s="17" t="s">
        <v>39</v>
      </c>
      <c r="C18" s="17" t="s">
        <v>40</v>
      </c>
      <c r="D18" s="17" t="s">
        <v>45</v>
      </c>
      <c r="E18" s="19">
        <v>300</v>
      </c>
      <c r="F18" s="20">
        <f t="shared" si="0"/>
        <v>17329.592999999997</v>
      </c>
      <c r="G18" s="20">
        <f t="shared" si="1"/>
        <v>12422.369999999999</v>
      </c>
      <c r="H18" s="20">
        <v>9540.99</v>
      </c>
      <c r="I18" s="25">
        <v>0</v>
      </c>
      <c r="J18" s="25">
        <v>0</v>
      </c>
      <c r="K18" s="20">
        <f t="shared" si="2"/>
        <v>2881.38</v>
      </c>
      <c r="L18" s="25">
        <v>0</v>
      </c>
      <c r="M18" s="25">
        <v>1141.67</v>
      </c>
      <c r="N18" s="25">
        <v>500</v>
      </c>
      <c r="O18" s="25">
        <v>466.67</v>
      </c>
      <c r="P18" s="26">
        <v>0</v>
      </c>
      <c r="Q18" s="25">
        <v>233.33</v>
      </c>
      <c r="R18" s="25">
        <v>205.23</v>
      </c>
      <c r="S18" s="25">
        <f>1815.12-924.667</f>
        <v>890.45299999999986</v>
      </c>
      <c r="T18" s="25">
        <v>0</v>
      </c>
      <c r="U18" s="20">
        <v>0</v>
      </c>
      <c r="V18" s="25">
        <v>68.83</v>
      </c>
      <c r="W18" s="25">
        <v>0</v>
      </c>
      <c r="X18" s="20">
        <f t="shared" si="3"/>
        <v>1401.04</v>
      </c>
      <c r="Y18" s="27">
        <v>1076.07</v>
      </c>
      <c r="Z18" s="25">
        <v>0</v>
      </c>
      <c r="AA18" s="25">
        <v>0</v>
      </c>
      <c r="AB18" s="20">
        <f t="shared" si="4"/>
        <v>324.97000000000003</v>
      </c>
      <c r="AC18" s="25">
        <v>0</v>
      </c>
      <c r="AD18" s="25">
        <v>966.67</v>
      </c>
      <c r="AE18" s="20">
        <f t="shared" si="5"/>
        <v>5198.8999999999996</v>
      </c>
      <c r="AF18" s="25">
        <v>0</v>
      </c>
      <c r="AG18" s="237"/>
      <c r="AH18" s="47">
        <f t="shared" si="6"/>
        <v>4147.0230000000001</v>
      </c>
      <c r="AI18" s="55">
        <v>4154.4998999999998</v>
      </c>
      <c r="AJ18" s="6"/>
      <c r="AK18" s="7"/>
      <c r="AM18" s="8"/>
    </row>
    <row r="19" spans="1:39" s="1" customFormat="1" ht="78.75" x14ac:dyDescent="0.25">
      <c r="A19" s="16" t="s">
        <v>44</v>
      </c>
      <c r="B19" s="17" t="s">
        <v>41</v>
      </c>
      <c r="C19" s="17" t="s">
        <v>42</v>
      </c>
      <c r="D19" s="17" t="s">
        <v>38</v>
      </c>
      <c r="E19" s="19">
        <v>1</v>
      </c>
      <c r="F19" s="20">
        <f t="shared" si="0"/>
        <v>486225.52</v>
      </c>
      <c r="G19" s="20">
        <f t="shared" si="1"/>
        <v>267387.26</v>
      </c>
      <c r="H19" s="20">
        <v>205366.56</v>
      </c>
      <c r="I19" s="25">
        <v>0</v>
      </c>
      <c r="J19" s="25">
        <v>0</v>
      </c>
      <c r="K19" s="20">
        <f t="shared" si="2"/>
        <v>62020.7</v>
      </c>
      <c r="L19" s="25">
        <v>0</v>
      </c>
      <c r="M19" s="25">
        <f>115010-22300</f>
        <v>92710</v>
      </c>
      <c r="N19" s="25">
        <f>M19-O19</f>
        <v>89910</v>
      </c>
      <c r="O19" s="25">
        <v>2800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1574.3</v>
      </c>
      <c r="X19" s="20">
        <f t="shared" si="3"/>
        <v>66846.820000000007</v>
      </c>
      <c r="Y19" s="25">
        <v>51341.64</v>
      </c>
      <c r="Z19" s="20">
        <v>0</v>
      </c>
      <c r="AA19" s="27">
        <v>0</v>
      </c>
      <c r="AB19" s="20">
        <f t="shared" si="4"/>
        <v>15505.18</v>
      </c>
      <c r="AC19" s="25">
        <v>0</v>
      </c>
      <c r="AD19" s="25">
        <v>20000</v>
      </c>
      <c r="AE19" s="20">
        <f t="shared" si="5"/>
        <v>486.2</v>
      </c>
      <c r="AF19" s="25">
        <v>0</v>
      </c>
      <c r="AG19" s="237"/>
      <c r="AH19" s="47">
        <f t="shared" si="6"/>
        <v>334.23408000000001</v>
      </c>
      <c r="AI19" s="55">
        <v>334.83684499999998</v>
      </c>
      <c r="AJ19" s="6"/>
      <c r="AK19" s="7"/>
      <c r="AM19" s="8"/>
    </row>
    <row r="20" spans="1:39" s="1" customFormat="1" ht="94.5" x14ac:dyDescent="0.25">
      <c r="A20" s="16" t="s">
        <v>46</v>
      </c>
      <c r="B20" s="13" t="s">
        <v>36</v>
      </c>
      <c r="C20" s="17" t="s">
        <v>37</v>
      </c>
      <c r="D20" s="13" t="s">
        <v>45</v>
      </c>
      <c r="E20" s="19">
        <v>34637</v>
      </c>
      <c r="F20" s="20">
        <f t="shared" si="0"/>
        <v>7988.7437858070862</v>
      </c>
      <c r="G20" s="20">
        <f>SUM(H20:L20)</f>
        <v>4750.2567858070852</v>
      </c>
      <c r="H20" s="20">
        <v>3598.5</v>
      </c>
      <c r="I20" s="20">
        <v>0</v>
      </c>
      <c r="J20" s="20">
        <v>0</v>
      </c>
      <c r="K20" s="20">
        <f>ROUND(H20*0.302,2)</f>
        <v>1086.75</v>
      </c>
      <c r="L20" s="20">
        <v>65.00678580708491</v>
      </c>
      <c r="M20" s="21">
        <f>893.3-0.013-421.379-6.461</f>
        <v>465.44699999999989</v>
      </c>
      <c r="N20" s="20">
        <v>196.17</v>
      </c>
      <c r="O20" s="20">
        <v>26.16</v>
      </c>
      <c r="P20" s="26">
        <v>0</v>
      </c>
      <c r="Q20" s="20">
        <v>0</v>
      </c>
      <c r="R20" s="20">
        <v>269.27</v>
      </c>
      <c r="S20" s="20">
        <v>382.56</v>
      </c>
      <c r="T20" s="20">
        <v>451.37</v>
      </c>
      <c r="U20" s="20">
        <v>0</v>
      </c>
      <c r="V20" s="20">
        <v>9.2200000000000006</v>
      </c>
      <c r="W20" s="20">
        <v>1.47</v>
      </c>
      <c r="X20" s="20">
        <f>SUM(Y20:AC20)</f>
        <v>1614.48</v>
      </c>
      <c r="Y20" s="27">
        <v>1240</v>
      </c>
      <c r="Z20" s="20">
        <v>0</v>
      </c>
      <c r="AA20" s="20">
        <v>0</v>
      </c>
      <c r="AB20" s="20">
        <f>ROUND(Y20*0.302,2)</f>
        <v>374.48</v>
      </c>
      <c r="AC20" s="25">
        <v>0</v>
      </c>
      <c r="AD20" s="25">
        <v>44.67</v>
      </c>
      <c r="AE20" s="20">
        <f t="shared" si="5"/>
        <v>276706.09999999998</v>
      </c>
      <c r="AF20" s="20">
        <v>153.9</v>
      </c>
      <c r="AG20" s="237">
        <f>ROUND(AE20+AE21+AE22+AF20,1)</f>
        <v>284223</v>
      </c>
      <c r="AH20" s="47">
        <f t="shared" si="6"/>
        <v>220455.38804999998</v>
      </c>
      <c r="AI20" s="55">
        <v>220848.72582200001</v>
      </c>
      <c r="AJ20" s="6"/>
      <c r="AK20" s="55">
        <f>ROUND(AG20/1000,1)</f>
        <v>284.2</v>
      </c>
      <c r="AM20" s="8"/>
    </row>
    <row r="21" spans="1:39" s="1" customFormat="1" ht="78.75" x14ac:dyDescent="0.25">
      <c r="A21" s="16" t="s">
        <v>46</v>
      </c>
      <c r="B21" s="13" t="s">
        <v>39</v>
      </c>
      <c r="C21" s="17" t="s">
        <v>40</v>
      </c>
      <c r="D21" s="13" t="s">
        <v>45</v>
      </c>
      <c r="E21" s="19">
        <v>173</v>
      </c>
      <c r="F21" s="20">
        <f t="shared" si="0"/>
        <v>22609.595202312135</v>
      </c>
      <c r="G21" s="20">
        <f t="shared" si="1"/>
        <v>14342.825202312139</v>
      </c>
      <c r="H21" s="20">
        <v>10349.94</v>
      </c>
      <c r="I21" s="20">
        <v>0</v>
      </c>
      <c r="J21" s="20">
        <v>0</v>
      </c>
      <c r="K21" s="20">
        <f t="shared" si="2"/>
        <v>3125.68</v>
      </c>
      <c r="L21" s="20">
        <v>867.20520231213857</v>
      </c>
      <c r="M21" s="20">
        <f>717.48-200</f>
        <v>517.48</v>
      </c>
      <c r="N21" s="20">
        <v>433.53</v>
      </c>
      <c r="O21" s="20">
        <v>0</v>
      </c>
      <c r="P21" s="26">
        <v>0</v>
      </c>
      <c r="Q21" s="20">
        <v>0</v>
      </c>
      <c r="R21" s="20">
        <f>1597.77-1167.63</f>
        <v>430.13999999999987</v>
      </c>
      <c r="S21" s="20">
        <v>0</v>
      </c>
      <c r="T21" s="20">
        <v>0</v>
      </c>
      <c r="U21" s="20">
        <v>0</v>
      </c>
      <c r="V21" s="20">
        <v>28.65</v>
      </c>
      <c r="W21" s="20">
        <v>86.36</v>
      </c>
      <c r="X21" s="20">
        <f t="shared" si="3"/>
        <v>6972.93</v>
      </c>
      <c r="Y21" s="27">
        <v>5355.55</v>
      </c>
      <c r="Z21" s="20">
        <v>0</v>
      </c>
      <c r="AA21" s="20">
        <v>0</v>
      </c>
      <c r="AB21" s="20">
        <f t="shared" si="4"/>
        <v>1617.38</v>
      </c>
      <c r="AC21" s="25">
        <v>0</v>
      </c>
      <c r="AD21" s="25">
        <v>231.21</v>
      </c>
      <c r="AE21" s="20">
        <f t="shared" si="5"/>
        <v>3911.5</v>
      </c>
      <c r="AF21" s="20">
        <v>0</v>
      </c>
      <c r="AG21" s="237"/>
      <c r="AH21" s="47">
        <f t="shared" si="6"/>
        <v>3687.62565</v>
      </c>
      <c r="AI21" s="55">
        <v>3694.0053710000002</v>
      </c>
      <c r="AJ21" s="6"/>
      <c r="AK21" s="7"/>
      <c r="AM21" s="8"/>
    </row>
    <row r="22" spans="1:39" s="1" customFormat="1" ht="78.75" x14ac:dyDescent="0.25">
      <c r="A22" s="16" t="s">
        <v>46</v>
      </c>
      <c r="B22" s="17" t="s">
        <v>41</v>
      </c>
      <c r="C22" s="17" t="s">
        <v>42</v>
      </c>
      <c r="D22" s="13" t="s">
        <v>38</v>
      </c>
      <c r="E22" s="19">
        <v>16</v>
      </c>
      <c r="F22" s="20">
        <f t="shared" si="0"/>
        <v>215716.48125000001</v>
      </c>
      <c r="G22" s="20">
        <f t="shared" si="1"/>
        <v>148447.47125</v>
      </c>
      <c r="H22" s="20">
        <v>112710.94</v>
      </c>
      <c r="I22" s="20">
        <v>0</v>
      </c>
      <c r="J22" s="20">
        <v>0</v>
      </c>
      <c r="K22" s="20">
        <f t="shared" si="2"/>
        <v>34038.699999999997</v>
      </c>
      <c r="L22" s="20">
        <f>1881.58125-183.75</f>
        <v>1697.83125</v>
      </c>
      <c r="M22" s="20">
        <v>1995.67</v>
      </c>
      <c r="N22" s="20">
        <v>937.5</v>
      </c>
      <c r="O22" s="20">
        <v>0</v>
      </c>
      <c r="P22" s="20">
        <v>0</v>
      </c>
      <c r="Q22" s="20">
        <v>0</v>
      </c>
      <c r="R22" s="20">
        <f>2620.25-25</f>
        <v>2595.25</v>
      </c>
      <c r="S22" s="20">
        <v>0</v>
      </c>
      <c r="T22" s="20">
        <v>0</v>
      </c>
      <c r="U22" s="20">
        <v>0</v>
      </c>
      <c r="V22" s="20">
        <v>0</v>
      </c>
      <c r="W22" s="20">
        <v>311.25</v>
      </c>
      <c r="X22" s="20">
        <f t="shared" si="3"/>
        <v>62366.840000000004</v>
      </c>
      <c r="Y22" s="20">
        <v>47900.800000000003</v>
      </c>
      <c r="Z22" s="20">
        <v>0</v>
      </c>
      <c r="AA22" s="20">
        <v>0</v>
      </c>
      <c r="AB22" s="20">
        <f t="shared" si="4"/>
        <v>14466.04</v>
      </c>
      <c r="AC22" s="25">
        <v>0</v>
      </c>
      <c r="AD22" s="25">
        <v>0</v>
      </c>
      <c r="AE22" s="20">
        <f t="shared" si="5"/>
        <v>3451.5</v>
      </c>
      <c r="AF22" s="20"/>
      <c r="AG22" s="237"/>
      <c r="AH22" s="47">
        <f t="shared" si="6"/>
        <v>3373.02898</v>
      </c>
      <c r="AI22" s="55">
        <v>3382.0031239999998</v>
      </c>
      <c r="AJ22" s="6"/>
      <c r="AK22" s="7"/>
      <c r="AM22" s="8"/>
    </row>
    <row r="23" spans="1:39" s="1" customFormat="1" ht="94.5" x14ac:dyDescent="0.25">
      <c r="A23" s="16" t="s">
        <v>47</v>
      </c>
      <c r="B23" s="17" t="s">
        <v>36</v>
      </c>
      <c r="C23" s="17" t="s">
        <v>37</v>
      </c>
      <c r="D23" s="28" t="s">
        <v>38</v>
      </c>
      <c r="E23" s="19">
        <v>42000</v>
      </c>
      <c r="F23" s="20">
        <f t="shared" si="0"/>
        <v>5387.1639999999989</v>
      </c>
      <c r="G23" s="20">
        <f t="shared" si="1"/>
        <v>3334.93</v>
      </c>
      <c r="H23" s="20">
        <v>2561.39</v>
      </c>
      <c r="I23" s="25">
        <v>0</v>
      </c>
      <c r="J23" s="25">
        <v>0</v>
      </c>
      <c r="K23" s="20">
        <f t="shared" si="2"/>
        <v>773.54</v>
      </c>
      <c r="L23" s="25">
        <v>0</v>
      </c>
      <c r="M23" s="21">
        <f>709.14-0.559-301.055+19.038</f>
        <v>426.56400000000002</v>
      </c>
      <c r="N23" s="25">
        <f>M23-O23</f>
        <v>412.16400000000004</v>
      </c>
      <c r="O23" s="25">
        <v>14.4</v>
      </c>
      <c r="P23" s="26">
        <v>0</v>
      </c>
      <c r="Q23" s="25">
        <v>155.81</v>
      </c>
      <c r="R23" s="25">
        <v>143.85</v>
      </c>
      <c r="S23" s="25">
        <v>332.73</v>
      </c>
      <c r="T23" s="25">
        <v>8.49</v>
      </c>
      <c r="U23" s="20">
        <v>0</v>
      </c>
      <c r="V23" s="25">
        <v>16.489999999999998</v>
      </c>
      <c r="W23" s="25">
        <v>65.44</v>
      </c>
      <c r="X23" s="20">
        <f t="shared" si="3"/>
        <v>881.13</v>
      </c>
      <c r="Y23" s="27">
        <v>676.75</v>
      </c>
      <c r="Z23" s="27">
        <v>0</v>
      </c>
      <c r="AA23" s="27">
        <v>0</v>
      </c>
      <c r="AB23" s="20">
        <f t="shared" si="4"/>
        <v>204.38</v>
      </c>
      <c r="AC23" s="25">
        <v>0</v>
      </c>
      <c r="AD23" s="25">
        <v>21.73</v>
      </c>
      <c r="AE23" s="20">
        <f t="shared" si="5"/>
        <v>226260.9</v>
      </c>
      <c r="AF23" s="27">
        <v>292.39999999999998</v>
      </c>
      <c r="AG23" s="237">
        <f>ROUND(AE23+AE24+AE25+AF23,1)</f>
        <v>241577.5</v>
      </c>
      <c r="AH23" s="47">
        <f t="shared" si="6"/>
        <v>177074.51999999996</v>
      </c>
      <c r="AI23" s="55">
        <v>177394.05600000001</v>
      </c>
      <c r="AJ23" s="6"/>
      <c r="AK23" s="55">
        <f>ROUND(AG23/1000,1)</f>
        <v>241.6</v>
      </c>
      <c r="AM23" s="8"/>
    </row>
    <row r="24" spans="1:39" s="1" customFormat="1" ht="78.75" x14ac:dyDescent="0.25">
      <c r="A24" s="16" t="s">
        <v>47</v>
      </c>
      <c r="B24" s="17" t="s">
        <v>39</v>
      </c>
      <c r="C24" s="17" t="s">
        <v>40</v>
      </c>
      <c r="D24" s="28" t="s">
        <v>38</v>
      </c>
      <c r="E24" s="19">
        <v>350</v>
      </c>
      <c r="F24" s="20">
        <f t="shared" si="0"/>
        <v>14365.869000000001</v>
      </c>
      <c r="G24" s="20">
        <f t="shared" si="1"/>
        <v>10698.78</v>
      </c>
      <c r="H24" s="20">
        <v>8217.19</v>
      </c>
      <c r="I24" s="25">
        <v>0</v>
      </c>
      <c r="J24" s="25">
        <v>0</v>
      </c>
      <c r="K24" s="20">
        <f t="shared" si="2"/>
        <v>2481.59</v>
      </c>
      <c r="L24" s="25">
        <v>0</v>
      </c>
      <c r="M24" s="25">
        <v>457.18</v>
      </c>
      <c r="N24" s="25">
        <v>0</v>
      </c>
      <c r="O24" s="25">
        <v>0</v>
      </c>
      <c r="P24" s="26">
        <v>0</v>
      </c>
      <c r="Q24" s="25">
        <f>2580.89-774.571</f>
        <v>1806.319</v>
      </c>
      <c r="R24" s="25">
        <v>143.85</v>
      </c>
      <c r="S24" s="25">
        <v>274.95</v>
      </c>
      <c r="T24" s="25">
        <v>0</v>
      </c>
      <c r="U24" s="20">
        <v>0</v>
      </c>
      <c r="V24" s="25">
        <v>16.489999999999998</v>
      </c>
      <c r="W24" s="25">
        <v>65.44</v>
      </c>
      <c r="X24" s="20">
        <f t="shared" si="3"/>
        <v>881.13</v>
      </c>
      <c r="Y24" s="27">
        <v>676.75</v>
      </c>
      <c r="Z24" s="27">
        <v>0</v>
      </c>
      <c r="AA24" s="27">
        <v>0</v>
      </c>
      <c r="AB24" s="20">
        <f t="shared" si="4"/>
        <v>204.38</v>
      </c>
      <c r="AC24" s="25">
        <v>0</v>
      </c>
      <c r="AD24" s="25">
        <v>21.73</v>
      </c>
      <c r="AE24" s="20">
        <f t="shared" si="5"/>
        <v>5028.1000000000004</v>
      </c>
      <c r="AF24" s="27">
        <v>0</v>
      </c>
      <c r="AG24" s="237"/>
      <c r="AH24" s="47">
        <f t="shared" si="6"/>
        <v>4052.9684999999999</v>
      </c>
      <c r="AI24" s="55">
        <v>4060.2775499999998</v>
      </c>
      <c r="AJ24" s="6"/>
      <c r="AK24" s="7"/>
      <c r="AM24" s="8"/>
    </row>
    <row r="25" spans="1:39" s="1" customFormat="1" ht="78.75" x14ac:dyDescent="0.25">
      <c r="A25" s="16" t="s">
        <v>47</v>
      </c>
      <c r="B25" s="17" t="s">
        <v>41</v>
      </c>
      <c r="C25" s="24" t="s">
        <v>42</v>
      </c>
      <c r="D25" s="28" t="s">
        <v>38</v>
      </c>
      <c r="E25" s="19">
        <v>104</v>
      </c>
      <c r="F25" s="20">
        <f t="shared" si="0"/>
        <v>96115.949000000008</v>
      </c>
      <c r="G25" s="20">
        <f t="shared" si="1"/>
        <v>75095.78</v>
      </c>
      <c r="H25" s="20">
        <v>57677.25</v>
      </c>
      <c r="I25" s="20">
        <v>0</v>
      </c>
      <c r="J25" s="20">
        <v>0</v>
      </c>
      <c r="K25" s="20">
        <f t="shared" si="2"/>
        <v>17418.53</v>
      </c>
      <c r="L25" s="20">
        <v>0</v>
      </c>
      <c r="M25" s="20">
        <v>397.62</v>
      </c>
      <c r="N25" s="20">
        <v>0</v>
      </c>
      <c r="O25" s="20">
        <v>0</v>
      </c>
      <c r="P25" s="20">
        <v>0</v>
      </c>
      <c r="Q25" s="20">
        <f>24301.11-5081.731</f>
        <v>19219.379000000001</v>
      </c>
      <c r="R25" s="20">
        <v>143.85</v>
      </c>
      <c r="S25" s="20">
        <v>274.52999999999997</v>
      </c>
      <c r="T25" s="20">
        <v>0</v>
      </c>
      <c r="U25" s="20">
        <v>0</v>
      </c>
      <c r="V25" s="20">
        <v>16.489999999999998</v>
      </c>
      <c r="W25" s="27">
        <v>65.44</v>
      </c>
      <c r="X25" s="20">
        <f t="shared" si="3"/>
        <v>881.13</v>
      </c>
      <c r="Y25" s="27">
        <v>676.75</v>
      </c>
      <c r="Z25" s="20">
        <v>0</v>
      </c>
      <c r="AA25" s="20">
        <v>0</v>
      </c>
      <c r="AB25" s="20">
        <f t="shared" si="4"/>
        <v>204.38</v>
      </c>
      <c r="AC25" s="25">
        <v>0</v>
      </c>
      <c r="AD25" s="25">
        <v>21.73</v>
      </c>
      <c r="AE25" s="20">
        <f t="shared" si="5"/>
        <v>9996.1</v>
      </c>
      <c r="AF25" s="20">
        <v>0</v>
      </c>
      <c r="AG25" s="237"/>
      <c r="AH25" s="47">
        <f t="shared" si="6"/>
        <v>7901.5986400000002</v>
      </c>
      <c r="AI25" s="55">
        <v>7915.8483040000001</v>
      </c>
      <c r="AJ25" s="6"/>
      <c r="AK25" s="7"/>
      <c r="AM25" s="8"/>
    </row>
    <row r="26" spans="1:39" s="1" customFormat="1" ht="78.75" x14ac:dyDescent="0.25">
      <c r="A26" s="16" t="s">
        <v>48</v>
      </c>
      <c r="B26" s="17" t="s">
        <v>49</v>
      </c>
      <c r="C26" s="17" t="s">
        <v>37</v>
      </c>
      <c r="D26" s="18" t="s">
        <v>38</v>
      </c>
      <c r="E26" s="19">
        <v>102546</v>
      </c>
      <c r="F26" s="20">
        <f t="shared" si="0"/>
        <v>2357.4720000000002</v>
      </c>
      <c r="G26" s="20">
        <f t="shared" si="1"/>
        <v>1942.75</v>
      </c>
      <c r="H26" s="20">
        <v>1492.13</v>
      </c>
      <c r="I26" s="25">
        <v>0</v>
      </c>
      <c r="J26" s="25">
        <v>0</v>
      </c>
      <c r="K26" s="20">
        <f t="shared" si="2"/>
        <v>450.62</v>
      </c>
      <c r="L26" s="25">
        <v>0</v>
      </c>
      <c r="M26" s="25">
        <v>64.680000000000007</v>
      </c>
      <c r="N26" s="25">
        <v>0</v>
      </c>
      <c r="O26" s="25">
        <v>22.31</v>
      </c>
      <c r="P26" s="26">
        <v>0</v>
      </c>
      <c r="Q26" s="25">
        <v>28.87</v>
      </c>
      <c r="R26" s="25">
        <v>30</v>
      </c>
      <c r="S26" s="25">
        <f>166.07-80-1.04</f>
        <v>85.029999999999987</v>
      </c>
      <c r="T26" s="25">
        <v>1</v>
      </c>
      <c r="U26" s="20">
        <v>0</v>
      </c>
      <c r="V26" s="25">
        <v>3.18</v>
      </c>
      <c r="W26" s="25">
        <v>0.37</v>
      </c>
      <c r="X26" s="20">
        <f t="shared" si="3"/>
        <v>129.63</v>
      </c>
      <c r="Y26" s="27">
        <v>99.56</v>
      </c>
      <c r="Z26" s="25">
        <v>0</v>
      </c>
      <c r="AA26" s="25">
        <v>0</v>
      </c>
      <c r="AB26" s="20">
        <f t="shared" si="4"/>
        <v>30.07</v>
      </c>
      <c r="AC26" s="25">
        <v>0</v>
      </c>
      <c r="AD26" s="25">
        <f>130.59-58.628</f>
        <v>71.962000000000003</v>
      </c>
      <c r="AE26" s="20">
        <f t="shared" si="5"/>
        <v>241749.3</v>
      </c>
      <c r="AF26" s="25">
        <v>517.9</v>
      </c>
      <c r="AG26" s="237">
        <f>ROUND(AE26+AE27+AE28+AF26,1)</f>
        <v>245364.2</v>
      </c>
      <c r="AH26" s="47">
        <f t="shared" si="6"/>
        <v>212514.27948000003</v>
      </c>
      <c r="AI26" s="55">
        <v>212897.59642799999</v>
      </c>
      <c r="AJ26" s="6"/>
      <c r="AK26" s="55">
        <f>ROUND(AG26/1000,1)</f>
        <v>245.4</v>
      </c>
      <c r="AM26" s="8"/>
    </row>
    <row r="27" spans="1:39" s="1" customFormat="1" ht="63" x14ac:dyDescent="0.25">
      <c r="A27" s="16" t="s">
        <v>48</v>
      </c>
      <c r="B27" s="17" t="s">
        <v>50</v>
      </c>
      <c r="C27" s="17" t="s">
        <v>40</v>
      </c>
      <c r="D27" s="18" t="s">
        <v>38</v>
      </c>
      <c r="E27" s="19">
        <v>331</v>
      </c>
      <c r="F27" s="20">
        <f t="shared" si="0"/>
        <v>4294.6490000000003</v>
      </c>
      <c r="G27" s="20">
        <f t="shared" si="1"/>
        <v>3629.2599999999998</v>
      </c>
      <c r="H27" s="20">
        <v>2787.45</v>
      </c>
      <c r="I27" s="25">
        <v>0</v>
      </c>
      <c r="J27" s="25">
        <v>0</v>
      </c>
      <c r="K27" s="20">
        <f t="shared" si="2"/>
        <v>841.81</v>
      </c>
      <c r="L27" s="25">
        <v>0</v>
      </c>
      <c r="M27" s="25">
        <f>415.94-250.151</f>
        <v>165.78899999999999</v>
      </c>
      <c r="N27" s="25">
        <v>0</v>
      </c>
      <c r="O27" s="25">
        <v>56.26</v>
      </c>
      <c r="P27" s="26">
        <v>0</v>
      </c>
      <c r="Q27" s="25">
        <v>2.83</v>
      </c>
      <c r="R27" s="25">
        <v>74.87</v>
      </c>
      <c r="S27" s="25">
        <v>20.37</v>
      </c>
      <c r="T27" s="25">
        <v>2.39</v>
      </c>
      <c r="U27" s="20">
        <v>0</v>
      </c>
      <c r="V27" s="25">
        <v>6.59</v>
      </c>
      <c r="W27" s="25">
        <v>0.76</v>
      </c>
      <c r="X27" s="20">
        <f t="shared" si="3"/>
        <v>109</v>
      </c>
      <c r="Y27" s="27">
        <v>83.72</v>
      </c>
      <c r="Z27" s="25">
        <v>0</v>
      </c>
      <c r="AA27" s="25">
        <v>0</v>
      </c>
      <c r="AB27" s="20">
        <f t="shared" si="4"/>
        <v>25.28</v>
      </c>
      <c r="AC27" s="25">
        <v>0</v>
      </c>
      <c r="AD27" s="25">
        <v>282.79000000000002</v>
      </c>
      <c r="AE27" s="20">
        <f t="shared" si="5"/>
        <v>1421.5</v>
      </c>
      <c r="AF27" s="25">
        <v>0</v>
      </c>
      <c r="AG27" s="237"/>
      <c r="AH27" s="47">
        <f t="shared" si="6"/>
        <v>1237.3640599999999</v>
      </c>
      <c r="AI27" s="55">
        <v>1239.5989719999998</v>
      </c>
      <c r="AJ27" s="6"/>
      <c r="AK27" s="7"/>
      <c r="AM27" s="8"/>
    </row>
    <row r="28" spans="1:39" s="1" customFormat="1" ht="78.75" x14ac:dyDescent="0.25">
      <c r="A28" s="16" t="s">
        <v>48</v>
      </c>
      <c r="B28" s="17" t="s">
        <v>41</v>
      </c>
      <c r="C28" s="24" t="s">
        <v>42</v>
      </c>
      <c r="D28" s="28" t="s">
        <v>38</v>
      </c>
      <c r="E28" s="19">
        <v>19</v>
      </c>
      <c r="F28" s="20">
        <f t="shared" si="0"/>
        <v>88183.31</v>
      </c>
      <c r="G28" s="20">
        <f t="shared" si="1"/>
        <v>83887.47</v>
      </c>
      <c r="H28" s="20">
        <v>64429.7</v>
      </c>
      <c r="I28" s="20">
        <v>0</v>
      </c>
      <c r="J28" s="20">
        <v>0</v>
      </c>
      <c r="K28" s="20">
        <f t="shared" si="2"/>
        <v>19457.77</v>
      </c>
      <c r="L28" s="20">
        <v>0</v>
      </c>
      <c r="M28" s="20">
        <v>403.44</v>
      </c>
      <c r="N28" s="20">
        <v>0</v>
      </c>
      <c r="O28" s="20">
        <v>403.44</v>
      </c>
      <c r="P28" s="20">
        <v>0</v>
      </c>
      <c r="Q28" s="20">
        <v>3802.59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48.8</v>
      </c>
      <c r="X28" s="20">
        <f t="shared" si="3"/>
        <v>0</v>
      </c>
      <c r="Y28" s="20">
        <v>0</v>
      </c>
      <c r="Z28" s="20">
        <v>0</v>
      </c>
      <c r="AA28" s="20">
        <v>0</v>
      </c>
      <c r="AB28" s="20">
        <f t="shared" si="4"/>
        <v>0</v>
      </c>
      <c r="AC28" s="25">
        <v>0</v>
      </c>
      <c r="AD28" s="25">
        <v>41.01</v>
      </c>
      <c r="AE28" s="20">
        <f t="shared" si="5"/>
        <v>1675.5</v>
      </c>
      <c r="AF28" s="20">
        <v>0</v>
      </c>
      <c r="AG28" s="237"/>
      <c r="AH28" s="47">
        <f t="shared" si="6"/>
        <v>1593.86193</v>
      </c>
      <c r="AI28" s="55">
        <v>1596.7364209999998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97600</v>
      </c>
      <c r="F29" s="20">
        <f t="shared" si="0"/>
        <v>3195.6299999999997</v>
      </c>
      <c r="G29" s="20">
        <f t="shared" si="1"/>
        <v>2122.7399999999998</v>
      </c>
      <c r="H29" s="20">
        <v>1630.37</v>
      </c>
      <c r="I29" s="30">
        <v>0</v>
      </c>
      <c r="J29" s="30">
        <v>0</v>
      </c>
      <c r="K29" s="20">
        <f t="shared" si="2"/>
        <v>492.37</v>
      </c>
      <c r="L29" s="30">
        <v>0</v>
      </c>
      <c r="M29" s="21">
        <f>372.3-0.002-168.458</f>
        <v>203.84</v>
      </c>
      <c r="N29" s="30">
        <v>115.96</v>
      </c>
      <c r="O29" s="30">
        <v>78.040000000000006</v>
      </c>
      <c r="P29" s="26">
        <v>0</v>
      </c>
      <c r="Q29" s="30">
        <v>98.77</v>
      </c>
      <c r="R29" s="30">
        <v>98.96</v>
      </c>
      <c r="S29" s="30">
        <v>129.22999999999999</v>
      </c>
      <c r="T29" s="30">
        <v>64.22</v>
      </c>
      <c r="U29" s="20">
        <v>0</v>
      </c>
      <c r="V29" s="30">
        <v>18.91</v>
      </c>
      <c r="W29" s="30">
        <v>0</v>
      </c>
      <c r="X29" s="20">
        <f t="shared" si="3"/>
        <v>395.77000000000004</v>
      </c>
      <c r="Y29" s="27">
        <v>303.97000000000003</v>
      </c>
      <c r="Z29" s="30">
        <v>0</v>
      </c>
      <c r="AA29" s="30">
        <v>0</v>
      </c>
      <c r="AB29" s="20">
        <f t="shared" si="4"/>
        <v>91.8</v>
      </c>
      <c r="AC29" s="25">
        <v>0</v>
      </c>
      <c r="AD29" s="25">
        <v>63.19</v>
      </c>
      <c r="AE29" s="20">
        <f t="shared" si="5"/>
        <v>311893.5</v>
      </c>
      <c r="AF29" s="31">
        <v>538.6</v>
      </c>
      <c r="AG29" s="237">
        <f>ROUND(AE29+AE30+AE31+AF29,1)</f>
        <v>313965.40000000002</v>
      </c>
      <c r="AH29" s="47">
        <f t="shared" si="6"/>
        <v>245806.57599999997</v>
      </c>
      <c r="AI29" s="55">
        <v>246251.4368</v>
      </c>
      <c r="AJ29" s="6"/>
      <c r="AK29" s="55">
        <f>ROUND(AG29/1000,1)</f>
        <v>314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110</v>
      </c>
      <c r="F30" s="20">
        <f t="shared" si="0"/>
        <v>8967.7369999999992</v>
      </c>
      <c r="G30" s="20">
        <f t="shared" si="1"/>
        <v>4982.16</v>
      </c>
      <c r="H30" s="20">
        <v>3826.54</v>
      </c>
      <c r="I30" s="30">
        <v>0</v>
      </c>
      <c r="J30" s="30">
        <v>0</v>
      </c>
      <c r="K30" s="20">
        <f t="shared" si="2"/>
        <v>1155.6199999999999</v>
      </c>
      <c r="L30" s="30">
        <v>0</v>
      </c>
      <c r="M30" s="30">
        <v>825.44</v>
      </c>
      <c r="N30" s="30">
        <v>100.78</v>
      </c>
      <c r="O30" s="30">
        <v>539.37</v>
      </c>
      <c r="P30" s="26">
        <v>0</v>
      </c>
      <c r="Q30" s="30">
        <v>48.67</v>
      </c>
      <c r="R30" s="30">
        <v>202.78</v>
      </c>
      <c r="S30" s="30">
        <f>425.88-200</f>
        <v>225.88</v>
      </c>
      <c r="T30" s="30">
        <v>413.74</v>
      </c>
      <c r="U30" s="20">
        <v>0</v>
      </c>
      <c r="V30" s="30">
        <v>243.42</v>
      </c>
      <c r="W30" s="30">
        <v>0</v>
      </c>
      <c r="X30" s="20">
        <f t="shared" si="3"/>
        <v>1854.71</v>
      </c>
      <c r="Y30" s="27">
        <v>1424.51</v>
      </c>
      <c r="Z30" s="30">
        <v>0</v>
      </c>
      <c r="AA30" s="30">
        <v>0</v>
      </c>
      <c r="AB30" s="20">
        <f t="shared" si="4"/>
        <v>430.2</v>
      </c>
      <c r="AC30" s="25">
        <v>0</v>
      </c>
      <c r="AD30" s="25">
        <f>428.21-257.273</f>
        <v>170.93699999999995</v>
      </c>
      <c r="AE30" s="20">
        <f t="shared" si="5"/>
        <v>986.5</v>
      </c>
      <c r="AF30" s="31"/>
      <c r="AG30" s="237"/>
      <c r="AH30" s="47">
        <f t="shared" si="6"/>
        <v>752.0557</v>
      </c>
      <c r="AI30" s="55">
        <v>753.41101000000015</v>
      </c>
      <c r="AJ30" s="6"/>
      <c r="AK30" s="7"/>
      <c r="AM30" s="8"/>
    </row>
    <row r="31" spans="1:39" s="1" customFormat="1" ht="78.75" x14ac:dyDescent="0.25">
      <c r="A31" s="23" t="s">
        <v>51</v>
      </c>
      <c r="B31" s="17" t="s">
        <v>41</v>
      </c>
      <c r="C31" s="24" t="s">
        <v>42</v>
      </c>
      <c r="D31" s="28" t="s">
        <v>38</v>
      </c>
      <c r="E31" s="19">
        <v>2</v>
      </c>
      <c r="F31" s="20">
        <f t="shared" si="0"/>
        <v>273405.55000000005</v>
      </c>
      <c r="G31" s="20">
        <f t="shared" si="1"/>
        <v>152984.95000000001</v>
      </c>
      <c r="H31" s="20">
        <v>117499.96</v>
      </c>
      <c r="I31" s="20">
        <v>0</v>
      </c>
      <c r="J31" s="20">
        <v>0</v>
      </c>
      <c r="K31" s="20">
        <f t="shared" si="2"/>
        <v>35484.99</v>
      </c>
      <c r="L31" s="20">
        <v>0</v>
      </c>
      <c r="M31" s="20">
        <v>28943.9</v>
      </c>
      <c r="N31" s="20">
        <v>0</v>
      </c>
      <c r="O31" s="20">
        <v>8416.44</v>
      </c>
      <c r="P31" s="20">
        <v>0</v>
      </c>
      <c r="Q31" s="20">
        <v>13234.78</v>
      </c>
      <c r="R31" s="20">
        <v>15149.06</v>
      </c>
      <c r="S31" s="20">
        <v>3047.2</v>
      </c>
      <c r="T31" s="20">
        <v>6404.24</v>
      </c>
      <c r="U31" s="20">
        <v>0</v>
      </c>
      <c r="V31" s="20">
        <v>4478.82</v>
      </c>
      <c r="W31" s="20">
        <v>0</v>
      </c>
      <c r="X31" s="20">
        <f t="shared" si="3"/>
        <v>33775.380000000005</v>
      </c>
      <c r="Y31" s="20">
        <v>25941.15</v>
      </c>
      <c r="Z31" s="20">
        <v>0</v>
      </c>
      <c r="AA31" s="20">
        <v>0</v>
      </c>
      <c r="AB31" s="20">
        <f t="shared" si="4"/>
        <v>7834.23</v>
      </c>
      <c r="AC31" s="25">
        <v>0</v>
      </c>
      <c r="AD31" s="25">
        <f>27887.22-12500</f>
        <v>15387.220000000001</v>
      </c>
      <c r="AE31" s="20">
        <f t="shared" si="5"/>
        <v>546.79999999999995</v>
      </c>
      <c r="AF31" s="20"/>
      <c r="AG31" s="237"/>
      <c r="AH31" s="47">
        <f t="shared" si="6"/>
        <v>373.52066000000002</v>
      </c>
      <c r="AI31" s="55">
        <v>374.19429000000002</v>
      </c>
      <c r="AJ31" s="6"/>
      <c r="AK31" s="7"/>
      <c r="AM31" s="8"/>
    </row>
    <row r="32" spans="1:39" s="1" customFormat="1" ht="94.5" x14ac:dyDescent="0.25">
      <c r="A32" s="16" t="s">
        <v>52</v>
      </c>
      <c r="B32" s="17" t="s">
        <v>36</v>
      </c>
      <c r="C32" s="17" t="s">
        <v>37</v>
      </c>
      <c r="D32" s="17" t="s">
        <v>53</v>
      </c>
      <c r="E32" s="19">
        <v>501</v>
      </c>
      <c r="F32" s="20">
        <f t="shared" si="0"/>
        <v>5807.0519999999997</v>
      </c>
      <c r="G32" s="20">
        <f t="shared" si="1"/>
        <v>2526.66</v>
      </c>
      <c r="H32" s="20">
        <v>1940.6</v>
      </c>
      <c r="I32" s="20"/>
      <c r="J32" s="20"/>
      <c r="K32" s="20">
        <f t="shared" si="2"/>
        <v>586.05999999999995</v>
      </c>
      <c r="L32" s="20"/>
      <c r="M32" s="20">
        <v>386.66</v>
      </c>
      <c r="N32" s="20">
        <v>0</v>
      </c>
      <c r="O32" s="20">
        <v>0</v>
      </c>
      <c r="P32" s="32">
        <v>0</v>
      </c>
      <c r="Q32" s="20">
        <f>1593.74-246.108</f>
        <v>1347.6320000000001</v>
      </c>
      <c r="R32" s="20">
        <v>26.9</v>
      </c>
      <c r="S32" s="20">
        <v>0</v>
      </c>
      <c r="T32" s="20">
        <v>0</v>
      </c>
      <c r="U32" s="20">
        <v>0</v>
      </c>
      <c r="V32" s="20">
        <v>39.1</v>
      </c>
      <c r="W32" s="20">
        <v>35.01</v>
      </c>
      <c r="X32" s="20">
        <f t="shared" si="3"/>
        <v>1151.8900000000001</v>
      </c>
      <c r="Y32" s="27">
        <v>884.71</v>
      </c>
      <c r="Z32" s="20"/>
      <c r="AA32" s="20"/>
      <c r="AB32" s="20">
        <f t="shared" si="4"/>
        <v>267.18</v>
      </c>
      <c r="AC32" s="20"/>
      <c r="AD32" s="20">
        <v>293.2</v>
      </c>
      <c r="AE32" s="20">
        <f t="shared" si="5"/>
        <v>2909.3</v>
      </c>
      <c r="AF32" s="25">
        <v>295.8</v>
      </c>
      <c r="AG32" s="237">
        <f>ROUND(AE32+AE33+AF32,1)</f>
        <v>18394.400000000001</v>
      </c>
      <c r="AH32" s="47">
        <f t="shared" si="6"/>
        <v>1842.95355</v>
      </c>
      <c r="AI32" s="55">
        <v>1846.2821939999999</v>
      </c>
      <c r="AJ32" s="6"/>
      <c r="AK32" s="55">
        <f>ROUND(AG32/1000,1)</f>
        <v>18.399999999999999</v>
      </c>
      <c r="AM32" s="8"/>
    </row>
    <row r="33" spans="1:39" s="1" customFormat="1" ht="78.75" x14ac:dyDescent="0.25">
      <c r="A33" s="16" t="s">
        <v>52</v>
      </c>
      <c r="B33" s="17" t="s">
        <v>39</v>
      </c>
      <c r="C33" s="17" t="s">
        <v>40</v>
      </c>
      <c r="D33" s="17" t="s">
        <v>53</v>
      </c>
      <c r="E33" s="19">
        <v>131</v>
      </c>
      <c r="F33" s="20">
        <f t="shared" si="0"/>
        <v>115948.67400000001</v>
      </c>
      <c r="G33" s="20">
        <f t="shared" si="1"/>
        <v>36791.67</v>
      </c>
      <c r="H33" s="20">
        <v>28257.81</v>
      </c>
      <c r="I33" s="20"/>
      <c r="J33" s="20"/>
      <c r="K33" s="20">
        <f t="shared" si="2"/>
        <v>8533.86</v>
      </c>
      <c r="L33" s="20"/>
      <c r="M33" s="20">
        <v>102.78</v>
      </c>
      <c r="N33" s="20">
        <v>0</v>
      </c>
      <c r="O33" s="20">
        <v>0</v>
      </c>
      <c r="P33" s="32">
        <v>0</v>
      </c>
      <c r="Q33" s="20">
        <v>3111.98</v>
      </c>
      <c r="R33" s="20">
        <v>1489.29</v>
      </c>
      <c r="S33" s="20">
        <v>39592.980000000003</v>
      </c>
      <c r="T33" s="20">
        <f>25123.33-3080.916</f>
        <v>22042.414000000001</v>
      </c>
      <c r="U33" s="20">
        <v>0</v>
      </c>
      <c r="V33" s="20">
        <v>3275.12</v>
      </c>
      <c r="W33" s="20">
        <v>277.33999999999997</v>
      </c>
      <c r="X33" s="20">
        <f t="shared" si="3"/>
        <v>9265.1</v>
      </c>
      <c r="Y33" s="27">
        <v>7116.05</v>
      </c>
      <c r="Z33" s="20"/>
      <c r="AA33" s="20"/>
      <c r="AB33" s="20">
        <f t="shared" si="4"/>
        <v>2149.0500000000002</v>
      </c>
      <c r="AC33" s="20"/>
      <c r="AD33" s="20">
        <v>0</v>
      </c>
      <c r="AE33" s="20">
        <f t="shared" si="5"/>
        <v>15189.3</v>
      </c>
      <c r="AF33" s="25"/>
      <c r="AG33" s="237"/>
      <c r="AH33" s="47">
        <f t="shared" si="6"/>
        <v>6033.4368699999995</v>
      </c>
      <c r="AI33" s="55">
        <v>6044.3164200000001</v>
      </c>
      <c r="AJ33" s="6"/>
      <c r="AK33" s="7"/>
      <c r="AM33" s="8"/>
    </row>
    <row r="34" spans="1:39" s="1" customFormat="1" ht="78.75" x14ac:dyDescent="0.25">
      <c r="A34" s="16" t="s">
        <v>54</v>
      </c>
      <c r="B34" s="17" t="s">
        <v>49</v>
      </c>
      <c r="C34" s="17" t="s">
        <v>37</v>
      </c>
      <c r="D34" s="17" t="s">
        <v>45</v>
      </c>
      <c r="E34" s="19">
        <v>5286</v>
      </c>
      <c r="F34" s="20">
        <f t="shared" si="0"/>
        <v>1868.2309999999998</v>
      </c>
      <c r="G34" s="20">
        <f t="shared" si="1"/>
        <v>697.04</v>
      </c>
      <c r="H34" s="20">
        <v>535.36</v>
      </c>
      <c r="I34" s="25">
        <v>0</v>
      </c>
      <c r="J34" s="25">
        <v>0</v>
      </c>
      <c r="K34" s="20">
        <f t="shared" si="2"/>
        <v>161.68</v>
      </c>
      <c r="L34" s="25">
        <v>0</v>
      </c>
      <c r="M34" s="25">
        <v>90.3</v>
      </c>
      <c r="N34" s="25">
        <v>0</v>
      </c>
      <c r="O34" s="25">
        <v>0</v>
      </c>
      <c r="P34" s="26">
        <v>0</v>
      </c>
      <c r="Q34" s="25">
        <v>83.61</v>
      </c>
      <c r="R34" s="25">
        <v>45.52</v>
      </c>
      <c r="S34" s="25">
        <v>77.900000000000006</v>
      </c>
      <c r="T34" s="25">
        <v>310.45</v>
      </c>
      <c r="U34" s="20">
        <v>0</v>
      </c>
      <c r="V34" s="27">
        <v>13.8</v>
      </c>
      <c r="W34" s="27">
        <v>3.61</v>
      </c>
      <c r="X34" s="20">
        <f t="shared" si="3"/>
        <v>453.46</v>
      </c>
      <c r="Y34" s="27">
        <v>348.28</v>
      </c>
      <c r="Z34" s="27">
        <v>0</v>
      </c>
      <c r="AA34" s="27">
        <v>0</v>
      </c>
      <c r="AB34" s="20">
        <f t="shared" si="4"/>
        <v>105.18</v>
      </c>
      <c r="AC34" s="25">
        <v>0</v>
      </c>
      <c r="AD34" s="25">
        <f>169.48-76.939</f>
        <v>92.540999999999997</v>
      </c>
      <c r="AE34" s="20">
        <f t="shared" si="5"/>
        <v>9875.5</v>
      </c>
      <c r="AF34" s="25">
        <v>276.2</v>
      </c>
      <c r="AG34" s="237">
        <f>ROUND(AE34+AE35+AF34,1)</f>
        <v>10674.4</v>
      </c>
      <c r="AH34" s="47">
        <f t="shared" si="6"/>
        <v>6081.5429999999997</v>
      </c>
      <c r="AI34" s="55">
        <v>6092.5167360000005</v>
      </c>
      <c r="AJ34" s="6"/>
      <c r="AK34" s="55">
        <f>ROUND(AG34/1000,1)</f>
        <v>10.7</v>
      </c>
      <c r="AM34" s="8"/>
    </row>
    <row r="35" spans="1:39" s="1" customFormat="1" ht="63" x14ac:dyDescent="0.25">
      <c r="A35" s="16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0"/>
        <v>52273.070000000007</v>
      </c>
      <c r="G35" s="20">
        <f t="shared" si="1"/>
        <v>24389.129999999997</v>
      </c>
      <c r="H35" s="20">
        <v>18732.05</v>
      </c>
      <c r="I35" s="25">
        <v>0</v>
      </c>
      <c r="J35" s="25">
        <v>0</v>
      </c>
      <c r="K35" s="20">
        <f t="shared" si="2"/>
        <v>5657.08</v>
      </c>
      <c r="L35" s="25">
        <v>0</v>
      </c>
      <c r="M35" s="25">
        <v>746.32</v>
      </c>
      <c r="N35" s="25">
        <v>0</v>
      </c>
      <c r="O35" s="25">
        <v>696.51</v>
      </c>
      <c r="P35" s="26">
        <v>0</v>
      </c>
      <c r="Q35" s="25">
        <v>1516.5</v>
      </c>
      <c r="R35" s="25">
        <v>1804.61</v>
      </c>
      <c r="S35" s="25">
        <v>2885.01</v>
      </c>
      <c r="T35" s="25">
        <f>8176.28-2290</f>
        <v>5886.28</v>
      </c>
      <c r="U35" s="20">
        <v>0</v>
      </c>
      <c r="V35" s="27">
        <v>1654.68</v>
      </c>
      <c r="W35" s="27">
        <v>1056.1199999999999</v>
      </c>
      <c r="X35" s="20">
        <f t="shared" si="3"/>
        <v>9887.48</v>
      </c>
      <c r="Y35" s="27">
        <v>7594.07</v>
      </c>
      <c r="Z35" s="27">
        <v>0</v>
      </c>
      <c r="AA35" s="27">
        <v>0</v>
      </c>
      <c r="AB35" s="20">
        <f t="shared" si="4"/>
        <v>2293.41</v>
      </c>
      <c r="AC35" s="25">
        <v>0</v>
      </c>
      <c r="AD35" s="25">
        <v>2446.94</v>
      </c>
      <c r="AE35" s="20">
        <f t="shared" si="5"/>
        <v>522.70000000000005</v>
      </c>
      <c r="AF35" s="27">
        <v>0</v>
      </c>
      <c r="AG35" s="237"/>
      <c r="AH35" s="47">
        <f t="shared" si="6"/>
        <v>342.76609999999999</v>
      </c>
      <c r="AI35" s="55">
        <v>343.38428999999996</v>
      </c>
      <c r="AJ35" s="6"/>
      <c r="AK35" s="7"/>
      <c r="AM35" s="8"/>
    </row>
    <row r="36" spans="1:39" s="1" customFormat="1" ht="94.5" x14ac:dyDescent="0.25">
      <c r="A36" s="16" t="s">
        <v>55</v>
      </c>
      <c r="B36" s="17" t="s">
        <v>56</v>
      </c>
      <c r="C36" s="17" t="s">
        <v>37</v>
      </c>
      <c r="D36" s="18" t="s">
        <v>53</v>
      </c>
      <c r="E36" s="19">
        <v>7900</v>
      </c>
      <c r="F36" s="20">
        <f t="shared" si="0"/>
        <v>2326.8339999999998</v>
      </c>
      <c r="G36" s="20">
        <f t="shared" si="1"/>
        <v>932.92</v>
      </c>
      <c r="H36" s="20">
        <v>716.53</v>
      </c>
      <c r="I36" s="25">
        <v>0</v>
      </c>
      <c r="J36" s="25">
        <v>0</v>
      </c>
      <c r="K36" s="20">
        <f t="shared" si="2"/>
        <v>216.39</v>
      </c>
      <c r="L36" s="25">
        <v>0</v>
      </c>
      <c r="M36" s="25">
        <f>535.65-101.937-13.949</f>
        <v>419.76399999999995</v>
      </c>
      <c r="N36" s="25">
        <v>0</v>
      </c>
      <c r="O36" s="25">
        <v>45.48</v>
      </c>
      <c r="P36" s="26">
        <v>0</v>
      </c>
      <c r="Q36" s="25">
        <v>84.54</v>
      </c>
      <c r="R36" s="25">
        <v>150.03</v>
      </c>
      <c r="S36" s="25">
        <v>43.28</v>
      </c>
      <c r="T36" s="25">
        <v>46.01</v>
      </c>
      <c r="U36" s="20">
        <v>0</v>
      </c>
      <c r="V36" s="25">
        <v>8.23</v>
      </c>
      <c r="W36" s="25">
        <v>0</v>
      </c>
      <c r="X36" s="20">
        <f t="shared" si="3"/>
        <v>591.22</v>
      </c>
      <c r="Y36" s="27">
        <v>454.03</v>
      </c>
      <c r="Z36" s="25">
        <v>0</v>
      </c>
      <c r="AA36" s="25">
        <v>0</v>
      </c>
      <c r="AB36" s="20">
        <f t="shared" si="4"/>
        <v>137.12</v>
      </c>
      <c r="AC36" s="25">
        <v>7.0000000000000007E-2</v>
      </c>
      <c r="AD36" s="25">
        <v>50.84</v>
      </c>
      <c r="AE36" s="20">
        <f t="shared" si="5"/>
        <v>18382</v>
      </c>
      <c r="AF36" s="25">
        <v>97.4</v>
      </c>
      <c r="AG36" s="237">
        <f>ROUND(AE36+AE37+AF36,1)</f>
        <v>20327.5</v>
      </c>
      <c r="AH36" s="47">
        <f t="shared" si="6"/>
        <v>12040.705999999998</v>
      </c>
      <c r="AI36" s="55">
        <v>12062.336200000002</v>
      </c>
      <c r="AJ36" s="6"/>
      <c r="AK36" s="55">
        <f>ROUND(AG36/1000,1)</f>
        <v>20.3</v>
      </c>
      <c r="AM36" s="8"/>
    </row>
    <row r="37" spans="1:39" s="1" customFormat="1" ht="78.75" x14ac:dyDescent="0.25">
      <c r="A37" s="16" t="s">
        <v>55</v>
      </c>
      <c r="B37" s="33" t="s">
        <v>57</v>
      </c>
      <c r="C37" s="17" t="s">
        <v>40</v>
      </c>
      <c r="D37" s="18" t="s">
        <v>45</v>
      </c>
      <c r="E37" s="19">
        <v>104</v>
      </c>
      <c r="F37" s="20">
        <f t="shared" si="0"/>
        <v>17769.77</v>
      </c>
      <c r="G37" s="20">
        <f t="shared" si="1"/>
        <v>6502.83</v>
      </c>
      <c r="H37" s="20">
        <v>4994.49</v>
      </c>
      <c r="I37" s="25">
        <v>0</v>
      </c>
      <c r="J37" s="25">
        <v>0</v>
      </c>
      <c r="K37" s="20">
        <f t="shared" si="2"/>
        <v>1508.34</v>
      </c>
      <c r="L37" s="25">
        <v>0</v>
      </c>
      <c r="M37" s="25">
        <v>489.79</v>
      </c>
      <c r="N37" s="25">
        <v>0</v>
      </c>
      <c r="O37" s="25">
        <v>269.66000000000003</v>
      </c>
      <c r="P37" s="26">
        <v>0</v>
      </c>
      <c r="Q37" s="25">
        <v>20.72</v>
      </c>
      <c r="R37" s="25">
        <v>180.35</v>
      </c>
      <c r="S37" s="25">
        <v>724.75</v>
      </c>
      <c r="T37" s="25">
        <v>115.61</v>
      </c>
      <c r="U37" s="20">
        <v>0</v>
      </c>
      <c r="V37" s="25">
        <v>48.76</v>
      </c>
      <c r="W37" s="25">
        <v>0</v>
      </c>
      <c r="X37" s="20">
        <f t="shared" si="3"/>
        <v>9347.0999999999985</v>
      </c>
      <c r="Y37" s="27">
        <v>7178.48</v>
      </c>
      <c r="Z37" s="25">
        <v>0</v>
      </c>
      <c r="AA37" s="25">
        <v>0</v>
      </c>
      <c r="AB37" s="20">
        <f t="shared" si="4"/>
        <v>2167.9</v>
      </c>
      <c r="AC37" s="25">
        <v>0.72</v>
      </c>
      <c r="AD37" s="25">
        <v>339.86</v>
      </c>
      <c r="AE37" s="20">
        <f t="shared" si="5"/>
        <v>1848.1</v>
      </c>
      <c r="AF37" s="25"/>
      <c r="AG37" s="237"/>
      <c r="AH37" s="47">
        <f t="shared" si="6"/>
        <v>1648.3927199999998</v>
      </c>
      <c r="AI37" s="55">
        <v>1651.3658719999999</v>
      </c>
      <c r="AJ37" s="6"/>
      <c r="AK37" s="7"/>
      <c r="AM37" s="8"/>
    </row>
    <row r="38" spans="1:39" s="1" customFormat="1" ht="78.75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62</v>
      </c>
      <c r="F38" s="20">
        <f t="shared" si="0"/>
        <v>90905.826000000001</v>
      </c>
      <c r="G38" s="20">
        <f t="shared" si="1"/>
        <v>46141.58</v>
      </c>
      <c r="H38" s="20">
        <v>35439</v>
      </c>
      <c r="I38" s="25">
        <v>0</v>
      </c>
      <c r="J38" s="25">
        <v>0</v>
      </c>
      <c r="K38" s="20">
        <f t="shared" si="2"/>
        <v>10702.58</v>
      </c>
      <c r="L38" s="25">
        <v>0</v>
      </c>
      <c r="M38" s="25">
        <v>6684.44</v>
      </c>
      <c r="N38" s="25">
        <v>3296.89</v>
      </c>
      <c r="O38" s="25">
        <v>1071.49</v>
      </c>
      <c r="P38" s="25">
        <v>0</v>
      </c>
      <c r="Q38" s="25">
        <v>2588.06</v>
      </c>
      <c r="R38" s="25">
        <f>9810.4-4574.194</f>
        <v>5236.2059999999992</v>
      </c>
      <c r="S38" s="25">
        <v>1458.87</v>
      </c>
      <c r="T38" s="25">
        <v>1087.98</v>
      </c>
      <c r="U38" s="20">
        <v>0</v>
      </c>
      <c r="V38" s="25">
        <v>3761.75</v>
      </c>
      <c r="W38" s="25">
        <v>0</v>
      </c>
      <c r="X38" s="20">
        <f t="shared" si="3"/>
        <v>22234.7</v>
      </c>
      <c r="Y38" s="27">
        <v>17077.34</v>
      </c>
      <c r="Z38" s="25">
        <v>0</v>
      </c>
      <c r="AA38" s="25">
        <v>0</v>
      </c>
      <c r="AB38" s="20">
        <f t="shared" si="4"/>
        <v>5157.3599999999997</v>
      </c>
      <c r="AC38" s="25">
        <v>0</v>
      </c>
      <c r="AD38" s="25">
        <v>1712.24</v>
      </c>
      <c r="AE38" s="20">
        <f t="shared" si="5"/>
        <v>5636.2</v>
      </c>
      <c r="AF38" s="20">
        <v>164.4</v>
      </c>
      <c r="AG38" s="37">
        <f>ROUND(AE38+AF38,1)</f>
        <v>5800.6</v>
      </c>
      <c r="AH38" s="47">
        <f t="shared" si="6"/>
        <v>4239.3293600000006</v>
      </c>
      <c r="AI38" s="55">
        <v>4246.9750139999996</v>
      </c>
      <c r="AJ38" s="6"/>
      <c r="AK38" s="55">
        <f>ROUND(AG38/1000,1)</f>
        <v>5.8</v>
      </c>
      <c r="AM38" s="8"/>
    </row>
    <row r="39" spans="1:39" s="1" customFormat="1" ht="78.75" x14ac:dyDescent="0.25">
      <c r="A39" s="16" t="s">
        <v>59</v>
      </c>
      <c r="B39" s="17" t="s">
        <v>39</v>
      </c>
      <c r="C39" s="17" t="s">
        <v>40</v>
      </c>
      <c r="D39" s="17" t="s">
        <v>45</v>
      </c>
      <c r="E39" s="19">
        <v>60</v>
      </c>
      <c r="F39" s="20">
        <f t="shared" si="0"/>
        <v>70267.91</v>
      </c>
      <c r="G39" s="20">
        <f t="shared" si="1"/>
        <v>18024.52</v>
      </c>
      <c r="H39" s="20">
        <v>13091.83</v>
      </c>
      <c r="I39" s="25">
        <v>0</v>
      </c>
      <c r="J39" s="25">
        <v>0</v>
      </c>
      <c r="K39" s="20">
        <f t="shared" si="2"/>
        <v>3953.73</v>
      </c>
      <c r="L39" s="25">
        <v>978.96</v>
      </c>
      <c r="M39" s="25">
        <v>1849.78</v>
      </c>
      <c r="N39" s="25">
        <v>0</v>
      </c>
      <c r="O39" s="25">
        <v>85.47</v>
      </c>
      <c r="P39" s="26">
        <v>0</v>
      </c>
      <c r="Q39" s="25">
        <v>0</v>
      </c>
      <c r="R39" s="25">
        <v>6010.31</v>
      </c>
      <c r="S39" s="25">
        <f>27648.23-1540</f>
        <v>26108.23</v>
      </c>
      <c r="T39" s="25">
        <v>7613.65</v>
      </c>
      <c r="U39" s="20">
        <v>0</v>
      </c>
      <c r="V39" s="25">
        <v>490.42</v>
      </c>
      <c r="W39" s="25">
        <v>0</v>
      </c>
      <c r="X39" s="20">
        <f t="shared" si="3"/>
        <v>6058.6500000000005</v>
      </c>
      <c r="Y39" s="27">
        <v>4590.68</v>
      </c>
      <c r="Z39" s="25">
        <v>0</v>
      </c>
      <c r="AA39" s="25">
        <v>0</v>
      </c>
      <c r="AB39" s="20">
        <f>ROUND(Y39*0.302,2)</f>
        <v>1386.39</v>
      </c>
      <c r="AC39" s="25">
        <v>81.58</v>
      </c>
      <c r="AD39" s="25">
        <v>4112.3500000000004</v>
      </c>
      <c r="AE39" s="20">
        <f t="shared" si="5"/>
        <v>4216.1000000000004</v>
      </c>
      <c r="AF39" s="25">
        <v>165.4</v>
      </c>
      <c r="AG39" s="37">
        <f>ROUND(AE39+AF39,1)</f>
        <v>4381.5</v>
      </c>
      <c r="AH39" s="47">
        <f t="shared" si="6"/>
        <v>1444.9902000000002</v>
      </c>
      <c r="AI39" s="55">
        <v>1447.4813999999999</v>
      </c>
      <c r="AJ39" s="6"/>
      <c r="AK39" s="55">
        <f>ROUND(AG39/1000,1)</f>
        <v>4.4000000000000004</v>
      </c>
      <c r="AM39" s="8"/>
    </row>
    <row r="40" spans="1:39" s="1" customFormat="1" ht="94.5" x14ac:dyDescent="0.25">
      <c r="A40" s="238" t="s">
        <v>60</v>
      </c>
      <c r="B40" s="13" t="s">
        <v>61</v>
      </c>
      <c r="C40" s="13" t="s">
        <v>62</v>
      </c>
      <c r="D40" s="13" t="s">
        <v>45</v>
      </c>
      <c r="E40" s="19">
        <v>506</v>
      </c>
      <c r="F40" s="20">
        <f t="shared" si="0"/>
        <v>15783.29</v>
      </c>
      <c r="G40" s="20">
        <f t="shared" si="1"/>
        <v>6643.75</v>
      </c>
      <c r="H40" s="20">
        <v>5102.7299999999996</v>
      </c>
      <c r="I40" s="20">
        <v>0</v>
      </c>
      <c r="J40" s="20">
        <v>0</v>
      </c>
      <c r="K40" s="20">
        <f t="shared" si="2"/>
        <v>1541.02</v>
      </c>
      <c r="L40" s="20">
        <v>0</v>
      </c>
      <c r="M40" s="20">
        <v>619.28</v>
      </c>
      <c r="N40" s="20">
        <v>0</v>
      </c>
      <c r="O40" s="20">
        <v>0</v>
      </c>
      <c r="P40" s="20">
        <v>0</v>
      </c>
      <c r="Q40" s="20">
        <v>242.38</v>
      </c>
      <c r="R40" s="20">
        <v>950.54</v>
      </c>
      <c r="S40" s="20">
        <v>1070.01</v>
      </c>
      <c r="T40" s="20">
        <v>100.99</v>
      </c>
      <c r="U40" s="20">
        <v>0</v>
      </c>
      <c r="V40" s="20">
        <v>458.5</v>
      </c>
      <c r="W40" s="20">
        <v>2.2200000000000002</v>
      </c>
      <c r="X40" s="20">
        <f t="shared" si="3"/>
        <v>5438.75</v>
      </c>
      <c r="Y40" s="27">
        <v>4177.2299999999996</v>
      </c>
      <c r="Z40" s="20">
        <v>0</v>
      </c>
      <c r="AA40" s="20">
        <v>0</v>
      </c>
      <c r="AB40" s="20">
        <f t="shared" si="4"/>
        <v>1261.52</v>
      </c>
      <c r="AC40" s="25">
        <v>0</v>
      </c>
      <c r="AD40" s="25">
        <f>1065.17-808.3</f>
        <v>256.87000000000012</v>
      </c>
      <c r="AE40" s="20">
        <f t="shared" si="5"/>
        <v>7986.3</v>
      </c>
      <c r="AF40" s="20">
        <v>4.0999999999999996</v>
      </c>
      <c r="AG40" s="237">
        <f>ROUND(AE40+AF40,1)+AE41+AF41</f>
        <v>29560.600000000002</v>
      </c>
      <c r="AH40" s="47">
        <f>(G40+X40)*E40/1000</f>
        <v>6113.7449999999999</v>
      </c>
      <c r="AI40" s="55">
        <v>6124.7727640000003</v>
      </c>
      <c r="AJ40" s="6">
        <f>AE40+AF40</f>
        <v>7990.4000000000005</v>
      </c>
      <c r="AK40" s="55">
        <f>ROUND(AG40/1000,1)</f>
        <v>29.6</v>
      </c>
      <c r="AL40" s="60">
        <f>ROUND(AJ40/1000,1)</f>
        <v>8</v>
      </c>
      <c r="AM40" s="8"/>
    </row>
    <row r="41" spans="1:39" s="1" customFormat="1" ht="141.75" x14ac:dyDescent="0.25">
      <c r="A41" s="239"/>
      <c r="B41" s="38" t="s">
        <v>63</v>
      </c>
      <c r="C41" s="39" t="s">
        <v>64</v>
      </c>
      <c r="D41" s="38" t="s">
        <v>65</v>
      </c>
      <c r="E41" s="40">
        <v>9880</v>
      </c>
      <c r="F41" s="41">
        <f t="shared" si="0"/>
        <v>2177.886</v>
      </c>
      <c r="G41" s="41">
        <f t="shared" si="1"/>
        <v>1134.04</v>
      </c>
      <c r="H41" s="41">
        <v>871</v>
      </c>
      <c r="I41" s="42">
        <v>0</v>
      </c>
      <c r="J41" s="41">
        <v>0</v>
      </c>
      <c r="K41" s="41">
        <f t="shared" si="2"/>
        <v>263.04000000000002</v>
      </c>
      <c r="L41" s="41">
        <v>0</v>
      </c>
      <c r="M41" s="42">
        <v>23.45</v>
      </c>
      <c r="N41" s="42">
        <v>0</v>
      </c>
      <c r="O41" s="42">
        <v>8.3000000000000007</v>
      </c>
      <c r="P41" s="42">
        <v>0</v>
      </c>
      <c r="Q41" s="42">
        <v>0</v>
      </c>
      <c r="R41" s="41">
        <v>10.87</v>
      </c>
      <c r="S41" s="42">
        <v>25.24</v>
      </c>
      <c r="T41" s="41">
        <v>13.07</v>
      </c>
      <c r="U41" s="41">
        <v>0</v>
      </c>
      <c r="V41" s="42">
        <v>32.08</v>
      </c>
      <c r="W41" s="41">
        <v>19.32</v>
      </c>
      <c r="X41" s="41">
        <f t="shared" si="3"/>
        <v>539.82000000000005</v>
      </c>
      <c r="Y41" s="43">
        <v>414.61</v>
      </c>
      <c r="Z41" s="42">
        <v>0</v>
      </c>
      <c r="AA41" s="41">
        <v>0</v>
      </c>
      <c r="AB41" s="41">
        <f t="shared" si="4"/>
        <v>125.21</v>
      </c>
      <c r="AC41" s="42">
        <v>0</v>
      </c>
      <c r="AD41" s="42">
        <f>491.97-111.974</f>
        <v>379.99600000000004</v>
      </c>
      <c r="AE41" s="51">
        <f t="shared" si="5"/>
        <v>21517.5</v>
      </c>
      <c r="AF41" s="52">
        <v>52.7</v>
      </c>
      <c r="AG41" s="240"/>
      <c r="AH41" s="47">
        <f t="shared" si="6"/>
        <v>16537.736800000002</v>
      </c>
      <c r="AI41" s="55">
        <v>16567.61392</v>
      </c>
      <c r="AJ41" s="6">
        <f>AE41+AF41</f>
        <v>21570.2</v>
      </c>
      <c r="AK41" s="7"/>
      <c r="AL41" s="60">
        <f>ROUND(AJ41/1000,1)</f>
        <v>21.6</v>
      </c>
      <c r="AM41" s="8"/>
    </row>
    <row r="42" spans="1:39" s="1" customFormat="1" ht="15.75" x14ac:dyDescent="0.25">
      <c r="A42" s="81"/>
      <c r="B42" s="9"/>
      <c r="C42" s="82"/>
      <c r="D42" s="9"/>
      <c r="E42" s="83"/>
      <c r="F42" s="3"/>
      <c r="G42" s="3"/>
      <c r="H42" s="3"/>
      <c r="I42" s="84"/>
      <c r="J42" s="3"/>
      <c r="K42" s="3"/>
      <c r="L42" s="3"/>
      <c r="M42" s="84"/>
      <c r="N42" s="84"/>
      <c r="O42" s="84"/>
      <c r="P42" s="84"/>
      <c r="Q42" s="84"/>
      <c r="R42" s="3"/>
      <c r="S42" s="84"/>
      <c r="T42" s="3"/>
      <c r="U42" s="3"/>
      <c r="V42" s="84"/>
      <c r="W42" s="3"/>
      <c r="X42" s="3"/>
      <c r="Y42" s="85"/>
      <c r="Z42" s="84"/>
      <c r="AA42" s="3"/>
      <c r="AB42" s="3"/>
      <c r="AC42" s="84"/>
      <c r="AD42" s="84"/>
      <c r="AE42" s="3"/>
      <c r="AF42" s="84"/>
      <c r="AG42" s="3"/>
      <c r="AH42" s="55"/>
      <c r="AI42" s="55"/>
      <c r="AJ42" s="6"/>
      <c r="AK42" s="7"/>
      <c r="AL42" s="60"/>
      <c r="AM42" s="8"/>
    </row>
    <row r="43" spans="1:39" s="1" customFormat="1" ht="15.75" x14ac:dyDescent="0.25">
      <c r="A43" s="81"/>
      <c r="B43" s="9"/>
      <c r="C43" s="82"/>
      <c r="D43" s="9"/>
      <c r="E43" s="83"/>
      <c r="F43" s="3"/>
      <c r="G43" s="3"/>
      <c r="H43" s="3"/>
      <c r="I43" s="84"/>
      <c r="J43" s="3"/>
      <c r="K43" s="3"/>
      <c r="L43" s="3"/>
      <c r="M43" s="84"/>
      <c r="N43" s="84"/>
      <c r="O43" s="84"/>
      <c r="P43" s="84"/>
      <c r="Q43" s="84"/>
      <c r="R43" s="3"/>
      <c r="S43" s="84"/>
      <c r="T43" s="3"/>
      <c r="U43" s="3"/>
      <c r="V43" s="84"/>
      <c r="W43" s="3"/>
      <c r="X43" s="3"/>
      <c r="Y43" s="85"/>
      <c r="Z43" s="84"/>
      <c r="AA43" s="3"/>
      <c r="AB43" s="3"/>
      <c r="AC43" s="84"/>
      <c r="AD43" s="84"/>
      <c r="AE43" s="3"/>
      <c r="AF43" s="84"/>
      <c r="AG43" s="3"/>
      <c r="AH43" s="55"/>
      <c r="AI43" s="55"/>
      <c r="AJ43" s="6"/>
      <c r="AK43" s="7"/>
      <c r="AL43" s="60"/>
      <c r="AM43" s="8"/>
    </row>
    <row r="44" spans="1:39" s="1" customFormat="1" ht="15.75" x14ac:dyDescent="0.25">
      <c r="A44" s="81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/>
      <c r="AH44" s="55"/>
      <c r="AI44" s="55"/>
      <c r="AJ44" s="6"/>
      <c r="AK44" s="7"/>
      <c r="AL44" s="60"/>
      <c r="AM44" s="8"/>
    </row>
    <row r="45" spans="1:39" ht="22.5" x14ac:dyDescent="0.25">
      <c r="A45" s="9" t="s">
        <v>70</v>
      </c>
      <c r="AE45" s="54">
        <f>SUM(AE11:AE41)</f>
        <v>1997053.3000000005</v>
      </c>
      <c r="AF45" s="54">
        <f>SUM(AF11:AF41)</f>
        <v>4034.4</v>
      </c>
      <c r="AG45" s="53">
        <f>SUM(AG11:AG41)</f>
        <v>2001087.7000000002</v>
      </c>
      <c r="AH45" s="53">
        <f>SUM(AH11:AH41)</f>
        <v>1570768.5000799997</v>
      </c>
      <c r="AI45" s="48">
        <v>1573601.299843</v>
      </c>
    </row>
    <row r="46" spans="1:39" ht="20.25" x14ac:dyDescent="0.25">
      <c r="A46" s="9" t="s">
        <v>71</v>
      </c>
      <c r="AE46" s="4"/>
      <c r="AF46" s="4"/>
      <c r="AG46" s="49">
        <v>2003920.5</v>
      </c>
      <c r="AH46" s="49">
        <v>1573601.3</v>
      </c>
      <c r="AI46" s="50"/>
    </row>
    <row r="47" spans="1:39" x14ac:dyDescent="0.25">
      <c r="AE47" s="4"/>
      <c r="AF47" s="4"/>
      <c r="AG47" s="50">
        <f>AG45-AG46</f>
        <v>-2832.7999999998137</v>
      </c>
      <c r="AH47" s="50">
        <f>AH45-AH46</f>
        <v>-2832.7999200003687</v>
      </c>
    </row>
    <row r="48" spans="1:39" x14ac:dyDescent="0.25">
      <c r="AG48" s="2"/>
      <c r="AH48" s="50"/>
      <c r="AI48" s="50"/>
    </row>
  </sheetData>
  <mergeCells count="52"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AG36:AG37"/>
    <mergeCell ref="A40:A41"/>
    <mergeCell ref="AG40:AG41"/>
    <mergeCell ref="AG17:AG19"/>
    <mergeCell ref="AG20:AG22"/>
    <mergeCell ref="AG23:AG25"/>
    <mergeCell ref="AG26:AG28"/>
    <mergeCell ref="AG29:AG31"/>
    <mergeCell ref="AG32:AG33"/>
  </mergeCells>
  <pageMargins left="0" right="0" top="0" bottom="0" header="0.31496062992125984" footer="0.31496062992125984"/>
  <pageSetup paperSize="9" scale="1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Q47"/>
  <sheetViews>
    <sheetView zoomScale="70" zoomScaleNormal="70" workbookViewId="0">
      <pane xSplit="6" ySplit="10" topLeftCell="AE42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27.710937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8" width="22" customWidth="1"/>
    <col min="39" max="40" width="16.85546875" customWidth="1"/>
    <col min="41" max="41" width="20.5703125" customWidth="1"/>
    <col min="42" max="42" width="17.140625" customWidth="1"/>
    <col min="43" max="43" width="16.28515625" customWidth="1"/>
    <col min="44" max="69" width="10.42578125" customWidth="1"/>
  </cols>
  <sheetData>
    <row r="1" spans="1:69" ht="45" x14ac:dyDescent="0.25">
      <c r="Z1" s="193" t="s">
        <v>105</v>
      </c>
      <c r="AA1" s="193" t="s">
        <v>106</v>
      </c>
      <c r="AB1" s="193" t="s">
        <v>107</v>
      </c>
    </row>
    <row r="2" spans="1:69" ht="18.75" x14ac:dyDescent="0.3">
      <c r="A2" s="118" t="s">
        <v>72</v>
      </c>
      <c r="B2" s="151" t="s">
        <v>95</v>
      </c>
      <c r="C2" s="151"/>
      <c r="Z2" s="192">
        <f>E11+E14+E17+E20+E23+E26+E29+E32+E34+E36</f>
        <v>165830</v>
      </c>
      <c r="AA2" s="192">
        <f>E12+E15+E18+E21+E24+E27+E30+E33+E35+E37+E38+E39</f>
        <v>670</v>
      </c>
      <c r="AB2" s="192">
        <f>E13+E16+E19+E22+E25+E28+E31</f>
        <v>39</v>
      </c>
      <c r="AD2" s="131" t="s">
        <v>100</v>
      </c>
    </row>
    <row r="3" spans="1:69" ht="15.75" customHeight="1" x14ac:dyDescent="0.25">
      <c r="A3" s="247" t="s">
        <v>0</v>
      </c>
      <c r="B3" s="243" t="s">
        <v>1</v>
      </c>
      <c r="C3" s="248" t="s">
        <v>2</v>
      </c>
      <c r="D3" s="248"/>
      <c r="E3" s="135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4</v>
      </c>
      <c r="AF3" s="243" t="s">
        <v>5</v>
      </c>
      <c r="AG3" s="244" t="s">
        <v>6</v>
      </c>
      <c r="AH3" s="158"/>
      <c r="AI3" s="158"/>
      <c r="AJ3" s="158"/>
      <c r="AK3" s="158"/>
      <c r="AL3" s="158"/>
      <c r="AM3" s="4"/>
      <c r="AN3" s="4"/>
    </row>
    <row r="4" spans="1:69" ht="15.75" customHeight="1" x14ac:dyDescent="0.25">
      <c r="A4" s="238"/>
      <c r="B4" s="242"/>
      <c r="C4" s="249" t="s">
        <v>7</v>
      </c>
      <c r="D4" s="249" t="s">
        <v>8</v>
      </c>
      <c r="E4" s="249" t="s">
        <v>9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  <c r="AF4" s="242"/>
      <c r="AG4" s="245"/>
      <c r="AH4" s="158"/>
      <c r="AI4" s="158"/>
      <c r="AJ4" s="158"/>
      <c r="AK4" s="158"/>
      <c r="AL4" s="158"/>
      <c r="AM4" s="4"/>
      <c r="AN4" s="4"/>
    </row>
    <row r="5" spans="1:69" ht="15.75" customHeight="1" x14ac:dyDescent="0.25">
      <c r="A5" s="238"/>
      <c r="B5" s="242"/>
      <c r="C5" s="249"/>
      <c r="D5" s="249"/>
      <c r="E5" s="249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  <c r="AF5" s="242"/>
      <c r="AG5" s="245"/>
      <c r="AH5" s="158"/>
      <c r="AI5" s="158"/>
      <c r="AJ5" s="158"/>
      <c r="AK5" s="158"/>
      <c r="AL5" s="158"/>
      <c r="AM5" s="4"/>
      <c r="AN5" s="4"/>
    </row>
    <row r="6" spans="1:69" ht="15.75" customHeight="1" x14ac:dyDescent="0.25">
      <c r="A6" s="238"/>
      <c r="B6" s="242"/>
      <c r="C6" s="249"/>
      <c r="D6" s="249"/>
      <c r="E6" s="249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  <c r="AF6" s="242"/>
      <c r="AG6" s="245"/>
      <c r="AH6" s="158"/>
      <c r="AI6" s="158"/>
      <c r="AJ6" s="158"/>
      <c r="AK6" s="158"/>
      <c r="AL6" s="158"/>
      <c r="AM6" s="4"/>
      <c r="AN6" s="4"/>
    </row>
    <row r="7" spans="1:69" ht="15.75" customHeight="1" x14ac:dyDescent="0.25">
      <c r="A7" s="238"/>
      <c r="B7" s="242"/>
      <c r="C7" s="249"/>
      <c r="D7" s="249"/>
      <c r="E7" s="249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  <c r="AF7" s="242"/>
      <c r="AG7" s="245"/>
      <c r="AH7" s="158"/>
      <c r="AI7" s="158"/>
      <c r="AJ7" s="158"/>
      <c r="AK7" s="158"/>
      <c r="AL7" s="158"/>
      <c r="AM7" s="4"/>
      <c r="AN7" s="4"/>
    </row>
    <row r="8" spans="1:69" ht="15.75" x14ac:dyDescent="0.25">
      <c r="A8" s="238"/>
      <c r="B8" s="242"/>
      <c r="C8" s="249"/>
      <c r="D8" s="249"/>
      <c r="E8" s="249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  <c r="AF8" s="242"/>
      <c r="AG8" s="245"/>
      <c r="AH8" s="158"/>
      <c r="AI8" s="158"/>
      <c r="AJ8" s="158"/>
      <c r="AK8" s="158"/>
      <c r="AL8" s="158"/>
      <c r="AM8" s="4"/>
      <c r="AN8" s="4"/>
    </row>
    <row r="9" spans="1:69" ht="94.5" x14ac:dyDescent="0.25">
      <c r="A9" s="238"/>
      <c r="B9" s="242"/>
      <c r="C9" s="249"/>
      <c r="D9" s="249"/>
      <c r="E9" s="249"/>
      <c r="F9" s="246"/>
      <c r="G9" s="246"/>
      <c r="H9" s="242"/>
      <c r="I9" s="242"/>
      <c r="J9" s="242"/>
      <c r="K9" s="242"/>
      <c r="L9" s="242"/>
      <c r="M9" s="246"/>
      <c r="N9" s="133" t="s">
        <v>33</v>
      </c>
      <c r="O9" s="133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  <c r="AF9" s="242"/>
      <c r="AG9" s="245"/>
      <c r="AH9" s="158" t="s">
        <v>94</v>
      </c>
      <c r="AI9" s="158" t="s">
        <v>97</v>
      </c>
      <c r="AJ9" s="158"/>
      <c r="AK9" s="158" t="s">
        <v>101</v>
      </c>
      <c r="AL9" s="158" t="s">
        <v>102</v>
      </c>
      <c r="AM9" s="44" t="s">
        <v>68</v>
      </c>
      <c r="AN9" s="45" t="s">
        <v>69</v>
      </c>
      <c r="AO9" s="158" t="s">
        <v>98</v>
      </c>
      <c r="AP9" s="158" t="s">
        <v>97</v>
      </c>
    </row>
    <row r="10" spans="1:69" ht="15.75" x14ac:dyDescent="0.25">
      <c r="A10" s="134">
        <v>1</v>
      </c>
      <c r="B10" s="137">
        <v>2</v>
      </c>
      <c r="C10" s="136">
        <v>3</v>
      </c>
      <c r="D10" s="137">
        <v>4</v>
      </c>
      <c r="E10" s="136">
        <v>5</v>
      </c>
      <c r="F10" s="137">
        <v>6</v>
      </c>
      <c r="G10" s="136">
        <v>7</v>
      </c>
      <c r="H10" s="137">
        <v>8</v>
      </c>
      <c r="I10" s="136">
        <v>9</v>
      </c>
      <c r="J10" s="137">
        <v>10</v>
      </c>
      <c r="K10" s="136">
        <v>11</v>
      </c>
      <c r="L10" s="137">
        <v>12</v>
      </c>
      <c r="M10" s="136">
        <v>13</v>
      </c>
      <c r="N10" s="133">
        <v>14</v>
      </c>
      <c r="O10" s="137">
        <v>15</v>
      </c>
      <c r="P10" s="137">
        <f>O10+1</f>
        <v>16</v>
      </c>
      <c r="Q10" s="137">
        <f t="shared" ref="Q10:AD10" si="0">P10+1</f>
        <v>17</v>
      </c>
      <c r="R10" s="137">
        <f t="shared" si="0"/>
        <v>18</v>
      </c>
      <c r="S10" s="137">
        <f t="shared" si="0"/>
        <v>19</v>
      </c>
      <c r="T10" s="137">
        <f t="shared" si="0"/>
        <v>20</v>
      </c>
      <c r="U10" s="137">
        <f t="shared" si="0"/>
        <v>21</v>
      </c>
      <c r="V10" s="137">
        <f t="shared" si="0"/>
        <v>22</v>
      </c>
      <c r="W10" s="137">
        <f t="shared" si="0"/>
        <v>23</v>
      </c>
      <c r="X10" s="137">
        <f t="shared" si="0"/>
        <v>24</v>
      </c>
      <c r="Y10" s="137">
        <f t="shared" si="0"/>
        <v>25</v>
      </c>
      <c r="Z10" s="137">
        <f t="shared" si="0"/>
        <v>26</v>
      </c>
      <c r="AA10" s="137">
        <f t="shared" si="0"/>
        <v>27</v>
      </c>
      <c r="AB10" s="137">
        <f t="shared" si="0"/>
        <v>28</v>
      </c>
      <c r="AC10" s="137">
        <f t="shared" si="0"/>
        <v>29</v>
      </c>
      <c r="AD10" s="137">
        <f t="shared" si="0"/>
        <v>30</v>
      </c>
      <c r="AE10" s="137">
        <f>AF10+1</f>
        <v>32</v>
      </c>
      <c r="AF10" s="137">
        <f>AD10+1</f>
        <v>31</v>
      </c>
      <c r="AG10" s="15"/>
      <c r="AH10" s="153"/>
      <c r="AI10" s="153"/>
      <c r="AJ10" s="170"/>
      <c r="AK10" s="170"/>
      <c r="AL10" s="170"/>
      <c r="AM10" s="46"/>
      <c r="AN10" s="4"/>
    </row>
    <row r="11" spans="1:69" ht="78.75" x14ac:dyDescent="0.25">
      <c r="A11" s="154" t="s">
        <v>35</v>
      </c>
      <c r="B11" s="139" t="s">
        <v>36</v>
      </c>
      <c r="C11" s="139" t="s">
        <v>37</v>
      </c>
      <c r="D11" s="58" t="s">
        <v>38</v>
      </c>
      <c r="E11" s="122">
        <v>24470</v>
      </c>
      <c r="F11" s="80">
        <f t="shared" ref="F11:F43" si="1">SUM(G11,M11,Q11,R11,S11,T11,V11,W11,X11,AD11,P11,U11)</f>
        <v>4016.8399999999997</v>
      </c>
      <c r="G11" s="80">
        <f t="shared" ref="G11:G43" si="2">SUM(H11:L11)</f>
        <v>1675.63</v>
      </c>
      <c r="H11" s="80">
        <v>1286.97</v>
      </c>
      <c r="I11" s="80">
        <v>0</v>
      </c>
      <c r="J11" s="80">
        <v>0</v>
      </c>
      <c r="K11" s="80">
        <f t="shared" ref="K11:K43" si="3">ROUND(H11*0.302,2)</f>
        <v>388.66</v>
      </c>
      <c r="L11" s="80"/>
      <c r="M11" s="80">
        <v>201.6</v>
      </c>
      <c r="N11" s="80">
        <v>0</v>
      </c>
      <c r="O11" s="80">
        <v>63.32</v>
      </c>
      <c r="P11" s="80">
        <v>0</v>
      </c>
      <c r="Q11" s="80">
        <v>1.03</v>
      </c>
      <c r="R11" s="80">
        <v>189.47</v>
      </c>
      <c r="S11" s="80">
        <v>88.74</v>
      </c>
      <c r="T11" s="80">
        <v>466.4</v>
      </c>
      <c r="U11" s="80">
        <v>0</v>
      </c>
      <c r="V11" s="80">
        <v>17.91</v>
      </c>
      <c r="W11" s="80">
        <v>0</v>
      </c>
      <c r="X11" s="80">
        <f t="shared" ref="X11:X43" si="4">SUM(Y11:AC11)</f>
        <v>1313.7</v>
      </c>
      <c r="Y11" s="80">
        <v>1008.99</v>
      </c>
      <c r="Z11" s="80">
        <v>0</v>
      </c>
      <c r="AA11" s="80">
        <v>0</v>
      </c>
      <c r="AB11" s="80">
        <f t="shared" ref="AB11:AB43" si="5">ROUND(Y11*0.302,2)</f>
        <v>304.70999999999998</v>
      </c>
      <c r="AC11" s="80">
        <v>0</v>
      </c>
      <c r="AD11" s="175">
        <f>63.48-1.12</f>
        <v>62.36</v>
      </c>
      <c r="AE11" s="80">
        <f t="shared" ref="AE11:AE43" si="6">ROUND(E11*F11/1000,1)</f>
        <v>98292.1</v>
      </c>
      <c r="AF11" s="172">
        <v>788.6</v>
      </c>
      <c r="AG11" s="80">
        <f>SUM(AE11:AF13)</f>
        <v>101444.20000000001</v>
      </c>
      <c r="AH11" s="5">
        <v>101444.2</v>
      </c>
      <c r="AI11" s="5">
        <f>AH11-AG11</f>
        <v>0</v>
      </c>
      <c r="AJ11">
        <f>AI11*1000/E11</f>
        <v>0</v>
      </c>
      <c r="AK11" s="171">
        <v>101444.18120000002</v>
      </c>
      <c r="AL11" s="5">
        <f>AK11-AG11</f>
        <v>-1.879999999073334E-2</v>
      </c>
      <c r="AM11" s="55"/>
      <c r="AN11" s="55"/>
      <c r="AO11" s="5">
        <v>4017.9600000000005</v>
      </c>
      <c r="AP11" s="5">
        <f t="shared" ref="AP11:AP43" si="7">AO11-F11</f>
        <v>1.1200000000008004</v>
      </c>
      <c r="AR11" s="184">
        <f t="shared" ref="AR11:BQ11" si="8">LEN(F11)-SEARCH(",",F11)</f>
        <v>2</v>
      </c>
      <c r="AS11" s="184">
        <f t="shared" si="8"/>
        <v>2</v>
      </c>
      <c r="AT11" s="184">
        <f t="shared" si="8"/>
        <v>2</v>
      </c>
      <c r="AU11" s="184" t="e">
        <f t="shared" si="8"/>
        <v>#VALUE!</v>
      </c>
      <c r="AV11" s="184" t="e">
        <f t="shared" si="8"/>
        <v>#VALUE!</v>
      </c>
      <c r="AW11" s="184">
        <f t="shared" si="8"/>
        <v>2</v>
      </c>
      <c r="AX11" s="184" t="e">
        <f t="shared" si="8"/>
        <v>#VALUE!</v>
      </c>
      <c r="AY11" s="184">
        <f t="shared" si="8"/>
        <v>1</v>
      </c>
      <c r="AZ11" s="184" t="e">
        <f t="shared" si="8"/>
        <v>#VALUE!</v>
      </c>
      <c r="BA11" s="184">
        <f t="shared" si="8"/>
        <v>2</v>
      </c>
      <c r="BB11" s="184" t="e">
        <f t="shared" si="8"/>
        <v>#VALUE!</v>
      </c>
      <c r="BC11" s="184">
        <f t="shared" si="8"/>
        <v>2</v>
      </c>
      <c r="BD11" s="184">
        <f t="shared" si="8"/>
        <v>2</v>
      </c>
      <c r="BE11" s="184">
        <f t="shared" si="8"/>
        <v>2</v>
      </c>
      <c r="BF11" s="184">
        <f t="shared" si="8"/>
        <v>1</v>
      </c>
      <c r="BG11" s="184" t="e">
        <f t="shared" si="8"/>
        <v>#VALUE!</v>
      </c>
      <c r="BH11" s="184">
        <f t="shared" si="8"/>
        <v>2</v>
      </c>
      <c r="BI11" s="184" t="e">
        <f t="shared" si="8"/>
        <v>#VALUE!</v>
      </c>
      <c r="BJ11" s="184">
        <f t="shared" si="8"/>
        <v>1</v>
      </c>
      <c r="BK11" s="184">
        <f t="shared" si="8"/>
        <v>2</v>
      </c>
      <c r="BL11" s="184" t="e">
        <f t="shared" si="8"/>
        <v>#VALUE!</v>
      </c>
      <c r="BM11" s="184" t="e">
        <f t="shared" si="8"/>
        <v>#VALUE!</v>
      </c>
      <c r="BN11" s="184">
        <f t="shared" si="8"/>
        <v>2</v>
      </c>
      <c r="BO11" s="184" t="e">
        <f t="shared" si="8"/>
        <v>#VALUE!</v>
      </c>
      <c r="BP11" s="184">
        <f t="shared" si="8"/>
        <v>2</v>
      </c>
      <c r="BQ11" s="184">
        <f t="shared" si="8"/>
        <v>1</v>
      </c>
    </row>
    <row r="12" spans="1:69" ht="63" x14ac:dyDescent="0.25">
      <c r="A12" s="154" t="s">
        <v>35</v>
      </c>
      <c r="B12" s="139" t="s">
        <v>39</v>
      </c>
      <c r="C12" s="139" t="s">
        <v>40</v>
      </c>
      <c r="D12" s="58" t="s">
        <v>38</v>
      </c>
      <c r="E12" s="122">
        <v>57</v>
      </c>
      <c r="F12" s="80">
        <f t="shared" si="1"/>
        <v>31193.420000000002</v>
      </c>
      <c r="G12" s="80">
        <f t="shared" si="2"/>
        <v>26973.53</v>
      </c>
      <c r="H12" s="80">
        <v>20717</v>
      </c>
      <c r="I12" s="80">
        <v>0</v>
      </c>
      <c r="J12" s="80">
        <v>0</v>
      </c>
      <c r="K12" s="80">
        <f t="shared" si="3"/>
        <v>6256.53</v>
      </c>
      <c r="L12" s="80"/>
      <c r="M12" s="80">
        <v>239.46</v>
      </c>
      <c r="N12" s="80">
        <v>0</v>
      </c>
      <c r="O12" s="80">
        <v>38.11</v>
      </c>
      <c r="P12" s="80">
        <v>0</v>
      </c>
      <c r="Q12" s="80">
        <v>53.04</v>
      </c>
      <c r="R12" s="80">
        <v>113.1</v>
      </c>
      <c r="S12" s="80">
        <v>540.13</v>
      </c>
      <c r="T12" s="80">
        <v>226.11</v>
      </c>
      <c r="U12" s="80">
        <v>0</v>
      </c>
      <c r="V12" s="80">
        <v>12.63</v>
      </c>
      <c r="W12" s="80">
        <v>0</v>
      </c>
      <c r="X12" s="80">
        <f t="shared" si="4"/>
        <v>2485.36</v>
      </c>
      <c r="Y12" s="80">
        <v>1908.88</v>
      </c>
      <c r="Z12" s="80">
        <v>0</v>
      </c>
      <c r="AA12" s="80">
        <v>0</v>
      </c>
      <c r="AB12" s="80">
        <f t="shared" si="5"/>
        <v>576.48</v>
      </c>
      <c r="AC12" s="80">
        <v>0</v>
      </c>
      <c r="AD12" s="80">
        <v>550.05999999999995</v>
      </c>
      <c r="AE12" s="80">
        <f t="shared" si="6"/>
        <v>1778</v>
      </c>
      <c r="AF12" s="159">
        <v>0</v>
      </c>
      <c r="AG12" s="80"/>
      <c r="AH12" s="5"/>
      <c r="AI12" s="5"/>
      <c r="AJ12" s="5"/>
      <c r="AK12" s="171"/>
      <c r="AL12" s="5"/>
      <c r="AM12" s="55"/>
      <c r="AN12" s="55"/>
      <c r="AO12" s="5">
        <v>31193.420000000002</v>
      </c>
      <c r="AP12" s="5">
        <f t="shared" si="7"/>
        <v>0</v>
      </c>
      <c r="AR12" s="184">
        <f t="shared" ref="AR12:AR43" si="9">LEN(F12)-SEARCH(",",F12)</f>
        <v>2</v>
      </c>
      <c r="AS12" s="184">
        <f t="shared" ref="AS12:AS43" si="10">LEN(G12)-SEARCH(",",G12)</f>
        <v>2</v>
      </c>
      <c r="AT12" s="184" t="e">
        <f t="shared" ref="AT12:AT43" si="11">LEN(H12)-SEARCH(",",H12)</f>
        <v>#VALUE!</v>
      </c>
      <c r="AU12" s="184" t="e">
        <f t="shared" ref="AU12:AU43" si="12">LEN(I12)-SEARCH(",",I12)</f>
        <v>#VALUE!</v>
      </c>
      <c r="AV12" s="184" t="e">
        <f t="shared" ref="AV12:AV43" si="13">LEN(J12)-SEARCH(",",J12)</f>
        <v>#VALUE!</v>
      </c>
      <c r="AW12" s="184">
        <f t="shared" ref="AW12:AW43" si="14">LEN(K12)-SEARCH(",",K12)</f>
        <v>2</v>
      </c>
      <c r="AX12" s="184" t="e">
        <f t="shared" ref="AX12:AX43" si="15">LEN(L12)-SEARCH(",",L12)</f>
        <v>#VALUE!</v>
      </c>
      <c r="AY12" s="184">
        <f t="shared" ref="AY12:AY43" si="16">LEN(M12)-SEARCH(",",M12)</f>
        <v>2</v>
      </c>
      <c r="AZ12" s="184" t="e">
        <f t="shared" ref="AZ12:AZ43" si="17">LEN(N12)-SEARCH(",",N12)</f>
        <v>#VALUE!</v>
      </c>
      <c r="BA12" s="184">
        <f t="shared" ref="BA12:BA43" si="18">LEN(O12)-SEARCH(",",O12)</f>
        <v>2</v>
      </c>
      <c r="BB12" s="184" t="e">
        <f t="shared" ref="BB12:BB43" si="19">LEN(P12)-SEARCH(",",P12)</f>
        <v>#VALUE!</v>
      </c>
      <c r="BC12" s="184">
        <f t="shared" ref="BC12:BC43" si="20">LEN(Q12)-SEARCH(",",Q12)</f>
        <v>2</v>
      </c>
      <c r="BD12" s="184">
        <f t="shared" ref="BD12:BD43" si="21">LEN(R12)-SEARCH(",",R12)</f>
        <v>1</v>
      </c>
      <c r="BE12" s="184">
        <f t="shared" ref="BE12:BE43" si="22">LEN(S12)-SEARCH(",",S12)</f>
        <v>2</v>
      </c>
      <c r="BF12" s="184">
        <f t="shared" ref="BF12:BF43" si="23">LEN(T12)-SEARCH(",",T12)</f>
        <v>2</v>
      </c>
      <c r="BG12" s="184" t="e">
        <f t="shared" ref="BG12:BG43" si="24">LEN(U12)-SEARCH(",",U12)</f>
        <v>#VALUE!</v>
      </c>
      <c r="BH12" s="184">
        <f t="shared" ref="BH12:BH43" si="25">LEN(V12)-SEARCH(",",V12)</f>
        <v>2</v>
      </c>
      <c r="BI12" s="184" t="e">
        <f t="shared" ref="BI12:BI43" si="26">LEN(W12)-SEARCH(",",W12)</f>
        <v>#VALUE!</v>
      </c>
      <c r="BJ12" s="184">
        <f t="shared" ref="BJ12:BJ43" si="27">LEN(X12)-SEARCH(",",X12)</f>
        <v>2</v>
      </c>
      <c r="BK12" s="184">
        <f t="shared" ref="BK12:BK43" si="28">LEN(Y12)-SEARCH(",",Y12)</f>
        <v>2</v>
      </c>
      <c r="BL12" s="184" t="e">
        <f t="shared" ref="BL12:BL43" si="29">LEN(Z12)-SEARCH(",",Z12)</f>
        <v>#VALUE!</v>
      </c>
      <c r="BM12" s="184" t="e">
        <f t="shared" ref="BM12:BM43" si="30">LEN(AA12)-SEARCH(",",AA12)</f>
        <v>#VALUE!</v>
      </c>
      <c r="BN12" s="184">
        <f t="shared" ref="BN12:BN43" si="31">LEN(AB12)-SEARCH(",",AB12)</f>
        <v>2</v>
      </c>
      <c r="BO12" s="184" t="e">
        <f t="shared" ref="BO12:BO43" si="32">LEN(AC12)-SEARCH(",",AC12)</f>
        <v>#VALUE!</v>
      </c>
      <c r="BP12" s="184">
        <f t="shared" ref="BP12:BP43" si="33">LEN(AD12)-SEARCH(",",AD12)</f>
        <v>2</v>
      </c>
      <c r="BQ12" s="184" t="e">
        <f t="shared" ref="BQ12:BQ43" si="34">LEN(AE12)-SEARCH(",",AE12)</f>
        <v>#VALUE!</v>
      </c>
    </row>
    <row r="13" spans="1:69" ht="45" x14ac:dyDescent="0.25">
      <c r="A13" s="154" t="s">
        <v>35</v>
      </c>
      <c r="B13" s="139" t="s">
        <v>41</v>
      </c>
      <c r="C13" s="140" t="s">
        <v>42</v>
      </c>
      <c r="D13" s="58" t="s">
        <v>38</v>
      </c>
      <c r="E13" s="122">
        <v>5</v>
      </c>
      <c r="F13" s="80">
        <f t="shared" si="1"/>
        <v>117108.04</v>
      </c>
      <c r="G13" s="80">
        <f t="shared" si="2"/>
        <v>75534.01999999999</v>
      </c>
      <c r="H13" s="80">
        <v>58013.84</v>
      </c>
      <c r="I13" s="80">
        <v>0</v>
      </c>
      <c r="J13" s="80">
        <v>0</v>
      </c>
      <c r="K13" s="80">
        <f t="shared" si="3"/>
        <v>17520.18</v>
      </c>
      <c r="L13" s="80"/>
      <c r="M13" s="80">
        <v>880.7</v>
      </c>
      <c r="N13" s="80">
        <v>0</v>
      </c>
      <c r="O13" s="80">
        <v>80.180000000000007</v>
      </c>
      <c r="P13" s="80">
        <v>0</v>
      </c>
      <c r="Q13" s="80">
        <v>11936.42</v>
      </c>
      <c r="R13" s="80">
        <v>446.6</v>
      </c>
      <c r="S13" s="80">
        <v>1177.6500000000001</v>
      </c>
      <c r="T13" s="80">
        <v>13781.9</v>
      </c>
      <c r="U13" s="80">
        <v>0</v>
      </c>
      <c r="V13" s="80">
        <v>64.709999999999994</v>
      </c>
      <c r="W13" s="80">
        <v>0</v>
      </c>
      <c r="X13" s="80">
        <f t="shared" si="4"/>
        <v>10715.02</v>
      </c>
      <c r="Y13" s="80">
        <v>8229.66</v>
      </c>
      <c r="Z13" s="80">
        <v>0</v>
      </c>
      <c r="AA13" s="80">
        <v>0</v>
      </c>
      <c r="AB13" s="80">
        <f t="shared" si="5"/>
        <v>2485.36</v>
      </c>
      <c r="AC13" s="80">
        <v>0</v>
      </c>
      <c r="AD13" s="80">
        <v>2571.02</v>
      </c>
      <c r="AE13" s="80">
        <f t="shared" si="6"/>
        <v>585.5</v>
      </c>
      <c r="AF13" s="159">
        <v>0</v>
      </c>
      <c r="AG13" s="80"/>
      <c r="AH13" s="5"/>
      <c r="AI13" s="5"/>
      <c r="AJ13" s="5"/>
      <c r="AK13" s="171"/>
      <c r="AL13" s="5"/>
      <c r="AM13" s="55"/>
      <c r="AN13" s="55"/>
      <c r="AO13" s="5">
        <v>117108.04</v>
      </c>
      <c r="AP13" s="5">
        <f t="shared" si="7"/>
        <v>0</v>
      </c>
      <c r="AR13" s="184">
        <f t="shared" si="9"/>
        <v>2</v>
      </c>
      <c r="AS13" s="184">
        <f t="shared" si="10"/>
        <v>2</v>
      </c>
      <c r="AT13" s="184">
        <f t="shared" si="11"/>
        <v>2</v>
      </c>
      <c r="AU13" s="184" t="e">
        <f t="shared" si="12"/>
        <v>#VALUE!</v>
      </c>
      <c r="AV13" s="184" t="e">
        <f t="shared" si="13"/>
        <v>#VALUE!</v>
      </c>
      <c r="AW13" s="184">
        <f t="shared" si="14"/>
        <v>2</v>
      </c>
      <c r="AX13" s="184" t="e">
        <f t="shared" si="15"/>
        <v>#VALUE!</v>
      </c>
      <c r="AY13" s="184">
        <f t="shared" si="16"/>
        <v>1</v>
      </c>
      <c r="AZ13" s="184" t="e">
        <f t="shared" si="17"/>
        <v>#VALUE!</v>
      </c>
      <c r="BA13" s="184">
        <f t="shared" si="18"/>
        <v>2</v>
      </c>
      <c r="BB13" s="184" t="e">
        <f t="shared" si="19"/>
        <v>#VALUE!</v>
      </c>
      <c r="BC13" s="184">
        <f t="shared" si="20"/>
        <v>2</v>
      </c>
      <c r="BD13" s="184">
        <f t="shared" si="21"/>
        <v>1</v>
      </c>
      <c r="BE13" s="184">
        <f t="shared" si="22"/>
        <v>2</v>
      </c>
      <c r="BF13" s="184">
        <f t="shared" si="23"/>
        <v>1</v>
      </c>
      <c r="BG13" s="184" t="e">
        <f t="shared" si="24"/>
        <v>#VALUE!</v>
      </c>
      <c r="BH13" s="184">
        <f t="shared" si="25"/>
        <v>2</v>
      </c>
      <c r="BI13" s="184" t="e">
        <f t="shared" si="26"/>
        <v>#VALUE!</v>
      </c>
      <c r="BJ13" s="184">
        <f t="shared" si="27"/>
        <v>2</v>
      </c>
      <c r="BK13" s="184">
        <f t="shared" si="28"/>
        <v>2</v>
      </c>
      <c r="BL13" s="184" t="e">
        <f t="shared" si="29"/>
        <v>#VALUE!</v>
      </c>
      <c r="BM13" s="184" t="e">
        <f t="shared" si="30"/>
        <v>#VALUE!</v>
      </c>
      <c r="BN13" s="184">
        <f t="shared" si="31"/>
        <v>2</v>
      </c>
      <c r="BO13" s="184" t="e">
        <f t="shared" si="32"/>
        <v>#VALUE!</v>
      </c>
      <c r="BP13" s="184">
        <f t="shared" si="33"/>
        <v>2</v>
      </c>
      <c r="BQ13" s="184">
        <f t="shared" si="34"/>
        <v>1</v>
      </c>
    </row>
    <row r="14" spans="1:69" ht="78.75" x14ac:dyDescent="0.25">
      <c r="A14" s="154" t="s">
        <v>43</v>
      </c>
      <c r="B14" s="139" t="s">
        <v>36</v>
      </c>
      <c r="C14" s="139" t="s">
        <v>37</v>
      </c>
      <c r="D14" s="139" t="s">
        <v>38</v>
      </c>
      <c r="E14" s="122">
        <v>20327</v>
      </c>
      <c r="F14" s="80">
        <f t="shared" si="1"/>
        <v>4200.0199999999995</v>
      </c>
      <c r="G14" s="80">
        <f t="shared" si="2"/>
        <v>1921.66</v>
      </c>
      <c r="H14" s="3">
        <v>1475.93</v>
      </c>
      <c r="I14" s="84">
        <v>0</v>
      </c>
      <c r="J14" s="3">
        <v>0</v>
      </c>
      <c r="K14" s="20">
        <f t="shared" si="3"/>
        <v>445.73</v>
      </c>
      <c r="L14" s="3"/>
      <c r="M14" s="84">
        <v>325.42</v>
      </c>
      <c r="N14" s="84">
        <v>78.78</v>
      </c>
      <c r="O14" s="84">
        <v>3.99</v>
      </c>
      <c r="P14" s="84">
        <v>0</v>
      </c>
      <c r="Q14" s="84">
        <v>172.17</v>
      </c>
      <c r="R14" s="3">
        <v>274.17</v>
      </c>
      <c r="S14" s="84">
        <v>112.84</v>
      </c>
      <c r="T14" s="3">
        <v>90.43</v>
      </c>
      <c r="U14" s="3">
        <v>0</v>
      </c>
      <c r="V14" s="84">
        <v>19.2</v>
      </c>
      <c r="W14" s="3">
        <v>0</v>
      </c>
      <c r="X14" s="20">
        <f t="shared" si="4"/>
        <v>1121.17</v>
      </c>
      <c r="Y14" s="85">
        <v>861.11</v>
      </c>
      <c r="Z14" s="84">
        <v>0</v>
      </c>
      <c r="AA14" s="3">
        <v>0</v>
      </c>
      <c r="AB14" s="20">
        <f t="shared" si="5"/>
        <v>260.06</v>
      </c>
      <c r="AC14" s="84">
        <v>0</v>
      </c>
      <c r="AD14" s="168">
        <f>162.75+0.21</f>
        <v>162.96</v>
      </c>
      <c r="AE14" s="20">
        <f t="shared" si="6"/>
        <v>85373.8</v>
      </c>
      <c r="AF14" s="173">
        <v>297.3</v>
      </c>
      <c r="AG14" s="130">
        <f>SUM(AE14:AF16)</f>
        <v>87892.6</v>
      </c>
      <c r="AH14" s="130">
        <v>87892.6</v>
      </c>
      <c r="AI14" s="5">
        <f>AH14-AG14</f>
        <v>0</v>
      </c>
      <c r="AJ14">
        <f>AI14*1000/E14</f>
        <v>0</v>
      </c>
      <c r="AK14" s="171">
        <v>87892.637399999992</v>
      </c>
      <c r="AL14" s="5">
        <f>AK14-AG14</f>
        <v>3.7399999986519106E-2</v>
      </c>
      <c r="AM14" s="55"/>
      <c r="AN14" s="55"/>
      <c r="AO14" s="5">
        <v>4199.8100000000004</v>
      </c>
      <c r="AP14" s="5">
        <f t="shared" si="7"/>
        <v>-0.20999999999912689</v>
      </c>
      <c r="AR14" s="184">
        <f t="shared" si="9"/>
        <v>2</v>
      </c>
      <c r="AS14" s="184">
        <f t="shared" si="10"/>
        <v>2</v>
      </c>
      <c r="AT14" s="184">
        <f t="shared" si="11"/>
        <v>2</v>
      </c>
      <c r="AU14" s="184" t="e">
        <f t="shared" si="12"/>
        <v>#VALUE!</v>
      </c>
      <c r="AV14" s="184" t="e">
        <f t="shared" si="13"/>
        <v>#VALUE!</v>
      </c>
      <c r="AW14" s="184">
        <f t="shared" si="14"/>
        <v>2</v>
      </c>
      <c r="AX14" s="184" t="e">
        <f t="shared" si="15"/>
        <v>#VALUE!</v>
      </c>
      <c r="AY14" s="184">
        <f t="shared" si="16"/>
        <v>2</v>
      </c>
      <c r="AZ14" s="184">
        <f t="shared" si="17"/>
        <v>2</v>
      </c>
      <c r="BA14" s="184">
        <f t="shared" si="18"/>
        <v>2</v>
      </c>
      <c r="BB14" s="184" t="e">
        <f t="shared" si="19"/>
        <v>#VALUE!</v>
      </c>
      <c r="BC14" s="184">
        <f t="shared" si="20"/>
        <v>2</v>
      </c>
      <c r="BD14" s="184">
        <f t="shared" si="21"/>
        <v>2</v>
      </c>
      <c r="BE14" s="184">
        <f t="shared" si="22"/>
        <v>2</v>
      </c>
      <c r="BF14" s="184">
        <f t="shared" si="23"/>
        <v>2</v>
      </c>
      <c r="BG14" s="184" t="e">
        <f t="shared" si="24"/>
        <v>#VALUE!</v>
      </c>
      <c r="BH14" s="184">
        <f t="shared" si="25"/>
        <v>1</v>
      </c>
      <c r="BI14" s="184" t="e">
        <f t="shared" si="26"/>
        <v>#VALUE!</v>
      </c>
      <c r="BJ14" s="184">
        <f t="shared" si="27"/>
        <v>2</v>
      </c>
      <c r="BK14" s="184">
        <f t="shared" si="28"/>
        <v>2</v>
      </c>
      <c r="BL14" s="184" t="e">
        <f t="shared" si="29"/>
        <v>#VALUE!</v>
      </c>
      <c r="BM14" s="184" t="e">
        <f t="shared" si="30"/>
        <v>#VALUE!</v>
      </c>
      <c r="BN14" s="184">
        <f t="shared" si="31"/>
        <v>2</v>
      </c>
      <c r="BO14" s="184" t="e">
        <f t="shared" si="32"/>
        <v>#VALUE!</v>
      </c>
      <c r="BP14" s="184">
        <f t="shared" si="33"/>
        <v>2</v>
      </c>
      <c r="BQ14" s="184">
        <f t="shared" si="34"/>
        <v>1</v>
      </c>
    </row>
    <row r="15" spans="1:69" ht="63" x14ac:dyDescent="0.25">
      <c r="A15" s="154" t="s">
        <v>43</v>
      </c>
      <c r="B15" s="139" t="s">
        <v>39</v>
      </c>
      <c r="C15" s="139" t="s">
        <v>40</v>
      </c>
      <c r="D15" s="139" t="s">
        <v>38</v>
      </c>
      <c r="E15" s="122">
        <v>60</v>
      </c>
      <c r="F15" s="80">
        <f t="shared" si="1"/>
        <v>31626.510000000002</v>
      </c>
      <c r="G15" s="80">
        <f t="shared" si="2"/>
        <v>11668.16</v>
      </c>
      <c r="H15" s="3">
        <v>8961.7199999999993</v>
      </c>
      <c r="I15" s="84">
        <v>0</v>
      </c>
      <c r="J15" s="3">
        <v>0</v>
      </c>
      <c r="K15" s="20">
        <f t="shared" si="3"/>
        <v>2706.44</v>
      </c>
      <c r="L15" s="3"/>
      <c r="M15" s="84">
        <v>218.19</v>
      </c>
      <c r="N15" s="84">
        <v>0</v>
      </c>
      <c r="O15" s="84">
        <v>4.24</v>
      </c>
      <c r="P15" s="84">
        <v>0</v>
      </c>
      <c r="Q15" s="84">
        <v>1974.63</v>
      </c>
      <c r="R15" s="3">
        <v>88.99</v>
      </c>
      <c r="S15" s="84">
        <v>25.95</v>
      </c>
      <c r="T15" s="3">
        <v>0</v>
      </c>
      <c r="U15" s="3">
        <v>0</v>
      </c>
      <c r="V15" s="84">
        <v>19.11</v>
      </c>
      <c r="W15" s="3">
        <v>16037.95</v>
      </c>
      <c r="X15" s="20">
        <f t="shared" si="4"/>
        <v>1514.62</v>
      </c>
      <c r="Y15" s="85">
        <v>1163.3</v>
      </c>
      <c r="Z15" s="84">
        <v>0</v>
      </c>
      <c r="AA15" s="3">
        <v>0</v>
      </c>
      <c r="AB15" s="20">
        <f t="shared" si="5"/>
        <v>351.32</v>
      </c>
      <c r="AC15" s="84">
        <v>0</v>
      </c>
      <c r="AD15" s="168">
        <f>77.25+1.66</f>
        <v>78.91</v>
      </c>
      <c r="AE15" s="20">
        <f t="shared" si="6"/>
        <v>1897.6</v>
      </c>
      <c r="AF15" s="84">
        <v>0</v>
      </c>
      <c r="AG15" s="3"/>
      <c r="AH15" s="3"/>
      <c r="AI15" s="3"/>
      <c r="AJ15">
        <f>AI14*1000/E15</f>
        <v>0</v>
      </c>
      <c r="AK15" s="171"/>
      <c r="AL15" s="5"/>
      <c r="AM15" s="55"/>
      <c r="AN15" s="55"/>
      <c r="AO15" s="5">
        <v>31624.850001571998</v>
      </c>
      <c r="AP15" s="5">
        <f t="shared" si="7"/>
        <v>-1.6599984280037461</v>
      </c>
      <c r="AR15" s="184">
        <f t="shared" si="9"/>
        <v>2</v>
      </c>
      <c r="AS15" s="184">
        <f t="shared" si="10"/>
        <v>2</v>
      </c>
      <c r="AT15" s="184">
        <f t="shared" si="11"/>
        <v>2</v>
      </c>
      <c r="AU15" s="184" t="e">
        <f t="shared" si="12"/>
        <v>#VALUE!</v>
      </c>
      <c r="AV15" s="184" t="e">
        <f t="shared" si="13"/>
        <v>#VALUE!</v>
      </c>
      <c r="AW15" s="184">
        <f t="shared" si="14"/>
        <v>2</v>
      </c>
      <c r="AX15" s="184" t="e">
        <f t="shared" si="15"/>
        <v>#VALUE!</v>
      </c>
      <c r="AY15" s="184">
        <f t="shared" si="16"/>
        <v>2</v>
      </c>
      <c r="AZ15" s="184" t="e">
        <f t="shared" si="17"/>
        <v>#VALUE!</v>
      </c>
      <c r="BA15" s="184">
        <f t="shared" si="18"/>
        <v>2</v>
      </c>
      <c r="BB15" s="184" t="e">
        <f t="shared" si="19"/>
        <v>#VALUE!</v>
      </c>
      <c r="BC15" s="184">
        <f t="shared" si="20"/>
        <v>2</v>
      </c>
      <c r="BD15" s="184">
        <f t="shared" si="21"/>
        <v>2</v>
      </c>
      <c r="BE15" s="184">
        <f t="shared" si="22"/>
        <v>2</v>
      </c>
      <c r="BF15" s="184" t="e">
        <f t="shared" si="23"/>
        <v>#VALUE!</v>
      </c>
      <c r="BG15" s="184" t="e">
        <f t="shared" si="24"/>
        <v>#VALUE!</v>
      </c>
      <c r="BH15" s="184">
        <f t="shared" si="25"/>
        <v>2</v>
      </c>
      <c r="BI15" s="184">
        <f t="shared" si="26"/>
        <v>2</v>
      </c>
      <c r="BJ15" s="184">
        <f t="shared" si="27"/>
        <v>2</v>
      </c>
      <c r="BK15" s="184">
        <f t="shared" si="28"/>
        <v>1</v>
      </c>
      <c r="BL15" s="184" t="e">
        <f t="shared" si="29"/>
        <v>#VALUE!</v>
      </c>
      <c r="BM15" s="184" t="e">
        <f t="shared" si="30"/>
        <v>#VALUE!</v>
      </c>
      <c r="BN15" s="184">
        <f t="shared" si="31"/>
        <v>2</v>
      </c>
      <c r="BO15" s="184" t="e">
        <f t="shared" si="32"/>
        <v>#VALUE!</v>
      </c>
      <c r="BP15" s="184">
        <f t="shared" si="33"/>
        <v>2</v>
      </c>
      <c r="BQ15" s="184">
        <f t="shared" si="34"/>
        <v>1</v>
      </c>
    </row>
    <row r="16" spans="1:69" ht="47.25" x14ac:dyDescent="0.25">
      <c r="A16" s="154" t="s">
        <v>43</v>
      </c>
      <c r="B16" s="139" t="s">
        <v>41</v>
      </c>
      <c r="C16" s="139" t="s">
        <v>42</v>
      </c>
      <c r="D16" s="139" t="s">
        <v>38</v>
      </c>
      <c r="E16" s="122">
        <v>1</v>
      </c>
      <c r="F16" s="80">
        <f t="shared" si="1"/>
        <v>323871.59999999998</v>
      </c>
      <c r="G16" s="80">
        <f t="shared" si="2"/>
        <v>280421.14</v>
      </c>
      <c r="H16" s="3">
        <v>215377.22</v>
      </c>
      <c r="I16" s="84">
        <v>0</v>
      </c>
      <c r="J16" s="3">
        <v>0</v>
      </c>
      <c r="K16" s="20">
        <f t="shared" si="3"/>
        <v>65043.92</v>
      </c>
      <c r="L16" s="3"/>
      <c r="M16" s="84">
        <v>28926.1</v>
      </c>
      <c r="N16" s="84">
        <v>0</v>
      </c>
      <c r="O16" s="84">
        <v>26435.22</v>
      </c>
      <c r="P16" s="84">
        <v>0</v>
      </c>
      <c r="Q16" s="84">
        <v>5500</v>
      </c>
      <c r="R16" s="3">
        <v>467.81</v>
      </c>
      <c r="S16" s="84">
        <v>176.83</v>
      </c>
      <c r="T16" s="3">
        <v>0</v>
      </c>
      <c r="U16" s="3">
        <v>0</v>
      </c>
      <c r="V16" s="84">
        <v>23.67</v>
      </c>
      <c r="W16" s="3">
        <v>0</v>
      </c>
      <c r="X16" s="20">
        <f t="shared" si="4"/>
        <v>7396.9500000000007</v>
      </c>
      <c r="Y16" s="85">
        <v>5681.22</v>
      </c>
      <c r="Z16" s="84">
        <v>0</v>
      </c>
      <c r="AA16" s="3">
        <v>0</v>
      </c>
      <c r="AB16" s="20">
        <f t="shared" si="5"/>
        <v>1715.73</v>
      </c>
      <c r="AC16" s="84">
        <v>0</v>
      </c>
      <c r="AD16" s="84">
        <v>959.1</v>
      </c>
      <c r="AE16" s="20">
        <f t="shared" si="6"/>
        <v>323.89999999999998</v>
      </c>
      <c r="AF16" s="84">
        <v>0</v>
      </c>
      <c r="AG16" s="3"/>
      <c r="AH16" s="3"/>
      <c r="AI16" s="3"/>
      <c r="AJ16" s="3"/>
      <c r="AK16" s="171"/>
      <c r="AL16" s="5"/>
      <c r="AM16" s="55"/>
      <c r="AN16" s="55"/>
      <c r="AO16" s="5">
        <v>323871.61000047799</v>
      </c>
      <c r="AP16" s="5">
        <f t="shared" si="7"/>
        <v>1.0000478010624647E-2</v>
      </c>
      <c r="AR16" s="184">
        <f t="shared" si="9"/>
        <v>1</v>
      </c>
      <c r="AS16" s="184">
        <f t="shared" si="10"/>
        <v>2</v>
      </c>
      <c r="AT16" s="184">
        <f t="shared" si="11"/>
        <v>2</v>
      </c>
      <c r="AU16" s="184" t="e">
        <f t="shared" si="12"/>
        <v>#VALUE!</v>
      </c>
      <c r="AV16" s="184" t="e">
        <f t="shared" si="13"/>
        <v>#VALUE!</v>
      </c>
      <c r="AW16" s="184">
        <f t="shared" si="14"/>
        <v>2</v>
      </c>
      <c r="AX16" s="184" t="e">
        <f t="shared" si="15"/>
        <v>#VALUE!</v>
      </c>
      <c r="AY16" s="184">
        <f t="shared" si="16"/>
        <v>1</v>
      </c>
      <c r="AZ16" s="184" t="e">
        <f t="shared" si="17"/>
        <v>#VALUE!</v>
      </c>
      <c r="BA16" s="184">
        <f t="shared" si="18"/>
        <v>2</v>
      </c>
      <c r="BB16" s="184" t="e">
        <f t="shared" si="19"/>
        <v>#VALUE!</v>
      </c>
      <c r="BC16" s="184" t="e">
        <f t="shared" si="20"/>
        <v>#VALUE!</v>
      </c>
      <c r="BD16" s="184">
        <f t="shared" si="21"/>
        <v>2</v>
      </c>
      <c r="BE16" s="184">
        <f t="shared" si="22"/>
        <v>2</v>
      </c>
      <c r="BF16" s="184" t="e">
        <f t="shared" si="23"/>
        <v>#VALUE!</v>
      </c>
      <c r="BG16" s="184" t="e">
        <f t="shared" si="24"/>
        <v>#VALUE!</v>
      </c>
      <c r="BH16" s="184">
        <f t="shared" si="25"/>
        <v>2</v>
      </c>
      <c r="BI16" s="184" t="e">
        <f t="shared" si="26"/>
        <v>#VALUE!</v>
      </c>
      <c r="BJ16" s="184">
        <f t="shared" si="27"/>
        <v>2</v>
      </c>
      <c r="BK16" s="184">
        <f t="shared" si="28"/>
        <v>2</v>
      </c>
      <c r="BL16" s="184" t="e">
        <f t="shared" si="29"/>
        <v>#VALUE!</v>
      </c>
      <c r="BM16" s="184" t="e">
        <f t="shared" si="30"/>
        <v>#VALUE!</v>
      </c>
      <c r="BN16" s="184">
        <f t="shared" si="31"/>
        <v>2</v>
      </c>
      <c r="BO16" s="184" t="e">
        <f t="shared" si="32"/>
        <v>#VALUE!</v>
      </c>
      <c r="BP16" s="184">
        <f t="shared" si="33"/>
        <v>1</v>
      </c>
      <c r="BQ16" s="184">
        <f t="shared" si="34"/>
        <v>1</v>
      </c>
    </row>
    <row r="17" spans="1:69" ht="78.75" x14ac:dyDescent="0.25">
      <c r="A17" s="154" t="s">
        <v>44</v>
      </c>
      <c r="B17" s="139" t="s">
        <v>36</v>
      </c>
      <c r="C17" s="139" t="s">
        <v>37</v>
      </c>
      <c r="D17" s="139" t="s">
        <v>45</v>
      </c>
      <c r="E17" s="122">
        <v>30628</v>
      </c>
      <c r="F17" s="80">
        <f t="shared" si="1"/>
        <v>3014.8500000000004</v>
      </c>
      <c r="G17" s="80">
        <f t="shared" si="2"/>
        <v>1278.72</v>
      </c>
      <c r="H17" s="3">
        <v>982.12</v>
      </c>
      <c r="I17" s="84">
        <v>0</v>
      </c>
      <c r="J17" s="3">
        <v>0</v>
      </c>
      <c r="K17" s="20">
        <f t="shared" si="3"/>
        <v>296.60000000000002</v>
      </c>
      <c r="L17" s="3"/>
      <c r="M17" s="84">
        <v>203.17</v>
      </c>
      <c r="N17" s="84">
        <v>0.03</v>
      </c>
      <c r="O17" s="84">
        <v>56.81</v>
      </c>
      <c r="P17" s="84">
        <v>0</v>
      </c>
      <c r="Q17" s="84">
        <v>47.59</v>
      </c>
      <c r="R17" s="3">
        <v>136.66</v>
      </c>
      <c r="S17" s="84">
        <v>330.2</v>
      </c>
      <c r="T17" s="3">
        <v>35.43</v>
      </c>
      <c r="U17" s="3">
        <v>0</v>
      </c>
      <c r="V17" s="84">
        <v>39.049999999999997</v>
      </c>
      <c r="W17" s="3">
        <v>0</v>
      </c>
      <c r="X17" s="20">
        <f t="shared" si="4"/>
        <v>899.5</v>
      </c>
      <c r="Y17" s="85">
        <v>690.86</v>
      </c>
      <c r="Z17" s="84">
        <v>0</v>
      </c>
      <c r="AA17" s="3">
        <v>0</v>
      </c>
      <c r="AB17" s="20">
        <f t="shared" si="5"/>
        <v>208.64</v>
      </c>
      <c r="AC17" s="84">
        <v>0</v>
      </c>
      <c r="AD17" s="168">
        <f>57.55-13.02</f>
        <v>44.53</v>
      </c>
      <c r="AE17" s="20">
        <f t="shared" si="6"/>
        <v>92338.8</v>
      </c>
      <c r="AF17" s="173">
        <v>398.4</v>
      </c>
      <c r="AG17" s="3">
        <f>SUM(AE17:AF19)</f>
        <v>95603.099999999991</v>
      </c>
      <c r="AH17" s="3">
        <v>95603.1</v>
      </c>
      <c r="AI17" s="5">
        <f>AH17-AG17</f>
        <v>0</v>
      </c>
      <c r="AJ17">
        <f>AI17*1000/E17</f>
        <v>0</v>
      </c>
      <c r="AK17" s="171">
        <v>95603.199999999997</v>
      </c>
      <c r="AL17" s="5">
        <f>AK17-AG17</f>
        <v>0.10000000000582077</v>
      </c>
      <c r="AM17" s="55"/>
      <c r="AN17" s="55"/>
      <c r="AO17" s="5">
        <v>4149.0316585636683</v>
      </c>
      <c r="AP17" s="165">
        <f t="shared" si="7"/>
        <v>1134.181658563668</v>
      </c>
      <c r="AQ17" s="167" t="s">
        <v>99</v>
      </c>
      <c r="AR17" s="184">
        <f t="shared" si="9"/>
        <v>2</v>
      </c>
      <c r="AS17" s="184">
        <f t="shared" si="10"/>
        <v>2</v>
      </c>
      <c r="AT17" s="184">
        <f t="shared" si="11"/>
        <v>2</v>
      </c>
      <c r="AU17" s="184" t="e">
        <f t="shared" si="12"/>
        <v>#VALUE!</v>
      </c>
      <c r="AV17" s="184" t="e">
        <f t="shared" si="13"/>
        <v>#VALUE!</v>
      </c>
      <c r="AW17" s="184">
        <f t="shared" si="14"/>
        <v>1</v>
      </c>
      <c r="AX17" s="184" t="e">
        <f t="shared" si="15"/>
        <v>#VALUE!</v>
      </c>
      <c r="AY17" s="184">
        <f t="shared" si="16"/>
        <v>2</v>
      </c>
      <c r="AZ17" s="184">
        <f t="shared" si="17"/>
        <v>2</v>
      </c>
      <c r="BA17" s="184">
        <f t="shared" si="18"/>
        <v>2</v>
      </c>
      <c r="BB17" s="184" t="e">
        <f t="shared" si="19"/>
        <v>#VALUE!</v>
      </c>
      <c r="BC17" s="184">
        <f t="shared" si="20"/>
        <v>2</v>
      </c>
      <c r="BD17" s="184">
        <f t="shared" si="21"/>
        <v>2</v>
      </c>
      <c r="BE17" s="184">
        <f t="shared" si="22"/>
        <v>1</v>
      </c>
      <c r="BF17" s="184">
        <f t="shared" si="23"/>
        <v>2</v>
      </c>
      <c r="BG17" s="184" t="e">
        <f t="shared" si="24"/>
        <v>#VALUE!</v>
      </c>
      <c r="BH17" s="184">
        <f t="shared" si="25"/>
        <v>2</v>
      </c>
      <c r="BI17" s="184" t="e">
        <f t="shared" si="26"/>
        <v>#VALUE!</v>
      </c>
      <c r="BJ17" s="184">
        <f t="shared" si="27"/>
        <v>1</v>
      </c>
      <c r="BK17" s="184">
        <f t="shared" si="28"/>
        <v>2</v>
      </c>
      <c r="BL17" s="184" t="e">
        <f t="shared" si="29"/>
        <v>#VALUE!</v>
      </c>
      <c r="BM17" s="184" t="e">
        <f t="shared" si="30"/>
        <v>#VALUE!</v>
      </c>
      <c r="BN17" s="184">
        <f t="shared" si="31"/>
        <v>2</v>
      </c>
      <c r="BO17" s="184" t="e">
        <f t="shared" si="32"/>
        <v>#VALUE!</v>
      </c>
      <c r="BP17" s="184">
        <f t="shared" si="33"/>
        <v>2</v>
      </c>
      <c r="BQ17" s="184">
        <f t="shared" si="34"/>
        <v>1</v>
      </c>
    </row>
    <row r="18" spans="1:69" ht="63" x14ac:dyDescent="0.25">
      <c r="A18" s="154" t="s">
        <v>44</v>
      </c>
      <c r="B18" s="139" t="s">
        <v>39</v>
      </c>
      <c r="C18" s="139" t="s">
        <v>40</v>
      </c>
      <c r="D18" s="139" t="s">
        <v>45</v>
      </c>
      <c r="E18" s="122">
        <v>150</v>
      </c>
      <c r="F18" s="80">
        <f t="shared" si="1"/>
        <v>19105.870000000003</v>
      </c>
      <c r="G18" s="80">
        <f t="shared" si="2"/>
        <v>12025.48</v>
      </c>
      <c r="H18" s="3">
        <v>9236.16</v>
      </c>
      <c r="I18" s="84">
        <v>0</v>
      </c>
      <c r="J18" s="3">
        <v>0</v>
      </c>
      <c r="K18" s="20">
        <f t="shared" si="3"/>
        <v>2789.32</v>
      </c>
      <c r="L18" s="3"/>
      <c r="M18" s="84">
        <v>700.4</v>
      </c>
      <c r="N18" s="84">
        <v>0</v>
      </c>
      <c r="O18" s="84">
        <v>487.07</v>
      </c>
      <c r="P18" s="84">
        <v>0</v>
      </c>
      <c r="Q18" s="84">
        <v>466.67</v>
      </c>
      <c r="R18" s="3">
        <v>410.47</v>
      </c>
      <c r="S18" s="84">
        <v>1291.3499999999999</v>
      </c>
      <c r="T18" s="3">
        <v>0</v>
      </c>
      <c r="U18" s="3">
        <v>0</v>
      </c>
      <c r="V18" s="84">
        <v>137.66999999999999</v>
      </c>
      <c r="W18" s="3">
        <v>0</v>
      </c>
      <c r="X18" s="20">
        <f t="shared" si="4"/>
        <v>3140.5</v>
      </c>
      <c r="Y18" s="85">
        <v>2412.06</v>
      </c>
      <c r="Z18" s="84">
        <v>0</v>
      </c>
      <c r="AA18" s="3">
        <v>0</v>
      </c>
      <c r="AB18" s="20">
        <f t="shared" si="5"/>
        <v>728.44</v>
      </c>
      <c r="AC18" s="84">
        <v>0</v>
      </c>
      <c r="AD18" s="84">
        <v>933.33</v>
      </c>
      <c r="AE18" s="20">
        <f t="shared" si="6"/>
        <v>2865.9</v>
      </c>
      <c r="AF18" s="84">
        <v>0</v>
      </c>
      <c r="AG18" s="3"/>
      <c r="AH18" s="3"/>
      <c r="AI18" s="3"/>
      <c r="AJ18" s="3"/>
      <c r="AK18" s="171"/>
      <c r="AL18" s="5"/>
      <c r="AM18" s="55"/>
      <c r="AN18" s="55"/>
      <c r="AO18" s="5">
        <v>21331.583700564977</v>
      </c>
      <c r="AP18" s="165">
        <f t="shared" si="7"/>
        <v>2225.7137005649747</v>
      </c>
      <c r="AQ18" s="167" t="s">
        <v>99</v>
      </c>
      <c r="AR18" s="184">
        <f t="shared" si="9"/>
        <v>2</v>
      </c>
      <c r="AS18" s="184">
        <f t="shared" si="10"/>
        <v>2</v>
      </c>
      <c r="AT18" s="184">
        <f t="shared" si="11"/>
        <v>2</v>
      </c>
      <c r="AU18" s="184" t="e">
        <f t="shared" si="12"/>
        <v>#VALUE!</v>
      </c>
      <c r="AV18" s="184" t="e">
        <f t="shared" si="13"/>
        <v>#VALUE!</v>
      </c>
      <c r="AW18" s="184">
        <f t="shared" si="14"/>
        <v>2</v>
      </c>
      <c r="AX18" s="184" t="e">
        <f t="shared" si="15"/>
        <v>#VALUE!</v>
      </c>
      <c r="AY18" s="184">
        <f t="shared" si="16"/>
        <v>1</v>
      </c>
      <c r="AZ18" s="184" t="e">
        <f t="shared" si="17"/>
        <v>#VALUE!</v>
      </c>
      <c r="BA18" s="184">
        <f t="shared" si="18"/>
        <v>2</v>
      </c>
      <c r="BB18" s="184" t="e">
        <f t="shared" si="19"/>
        <v>#VALUE!</v>
      </c>
      <c r="BC18" s="184">
        <f t="shared" si="20"/>
        <v>2</v>
      </c>
      <c r="BD18" s="184">
        <f t="shared" si="21"/>
        <v>2</v>
      </c>
      <c r="BE18" s="184">
        <f t="shared" si="22"/>
        <v>2</v>
      </c>
      <c r="BF18" s="184" t="e">
        <f t="shared" si="23"/>
        <v>#VALUE!</v>
      </c>
      <c r="BG18" s="184" t="e">
        <f t="shared" si="24"/>
        <v>#VALUE!</v>
      </c>
      <c r="BH18" s="184">
        <f t="shared" si="25"/>
        <v>2</v>
      </c>
      <c r="BI18" s="184" t="e">
        <f t="shared" si="26"/>
        <v>#VALUE!</v>
      </c>
      <c r="BJ18" s="184">
        <f t="shared" si="27"/>
        <v>1</v>
      </c>
      <c r="BK18" s="184">
        <f t="shared" si="28"/>
        <v>2</v>
      </c>
      <c r="BL18" s="184" t="e">
        <f t="shared" si="29"/>
        <v>#VALUE!</v>
      </c>
      <c r="BM18" s="184" t="e">
        <f t="shared" si="30"/>
        <v>#VALUE!</v>
      </c>
      <c r="BN18" s="184">
        <f t="shared" si="31"/>
        <v>2</v>
      </c>
      <c r="BO18" s="184" t="e">
        <f t="shared" si="32"/>
        <v>#VALUE!</v>
      </c>
      <c r="BP18" s="184">
        <f t="shared" si="33"/>
        <v>2</v>
      </c>
      <c r="BQ18" s="184">
        <f t="shared" si="34"/>
        <v>1</v>
      </c>
    </row>
    <row r="19" spans="1:69" ht="47.25" x14ac:dyDescent="0.25">
      <c r="A19" s="154" t="s">
        <v>44</v>
      </c>
      <c r="B19" s="139" t="s">
        <v>41</v>
      </c>
      <c r="C19" s="139" t="s">
        <v>42</v>
      </c>
      <c r="D19" s="139" t="s">
        <v>38</v>
      </c>
      <c r="E19" s="122">
        <v>0</v>
      </c>
      <c r="F19" s="80">
        <f t="shared" si="1"/>
        <v>0</v>
      </c>
      <c r="G19" s="80">
        <f t="shared" si="2"/>
        <v>0</v>
      </c>
      <c r="H19" s="3">
        <v>0</v>
      </c>
      <c r="I19" s="84">
        <v>0</v>
      </c>
      <c r="J19" s="3">
        <v>0</v>
      </c>
      <c r="K19" s="20">
        <f t="shared" si="3"/>
        <v>0</v>
      </c>
      <c r="L19" s="3"/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3">
        <v>0</v>
      </c>
      <c r="S19" s="84">
        <v>0</v>
      </c>
      <c r="T19" s="3">
        <v>0</v>
      </c>
      <c r="U19" s="3">
        <v>0</v>
      </c>
      <c r="V19" s="84">
        <v>0</v>
      </c>
      <c r="W19" s="3">
        <v>0</v>
      </c>
      <c r="X19" s="20">
        <f t="shared" si="4"/>
        <v>0</v>
      </c>
      <c r="Y19" s="85">
        <v>0</v>
      </c>
      <c r="Z19" s="84">
        <v>0</v>
      </c>
      <c r="AA19" s="3">
        <v>0</v>
      </c>
      <c r="AB19" s="20">
        <f t="shared" si="5"/>
        <v>0</v>
      </c>
      <c r="AC19" s="84">
        <v>0</v>
      </c>
      <c r="AD19" s="84">
        <v>0</v>
      </c>
      <c r="AE19" s="20">
        <f t="shared" si="6"/>
        <v>0</v>
      </c>
      <c r="AF19" s="84">
        <v>0</v>
      </c>
      <c r="AG19" s="3"/>
      <c r="AH19" s="3"/>
      <c r="AI19" s="3"/>
      <c r="AJ19" s="3"/>
      <c r="AK19" s="171"/>
      <c r="AL19" s="5"/>
      <c r="AM19" s="55"/>
      <c r="AN19" s="55"/>
      <c r="AO19" s="5">
        <v>0</v>
      </c>
      <c r="AP19" s="5">
        <f t="shared" si="7"/>
        <v>0</v>
      </c>
      <c r="AR19" s="184" t="e">
        <f t="shared" si="9"/>
        <v>#VALUE!</v>
      </c>
      <c r="AS19" s="184" t="e">
        <f t="shared" si="10"/>
        <v>#VALUE!</v>
      </c>
      <c r="AT19" s="184" t="e">
        <f t="shared" si="11"/>
        <v>#VALUE!</v>
      </c>
      <c r="AU19" s="184" t="e">
        <f t="shared" si="12"/>
        <v>#VALUE!</v>
      </c>
      <c r="AV19" s="184" t="e">
        <f t="shared" si="13"/>
        <v>#VALUE!</v>
      </c>
      <c r="AW19" s="184" t="e">
        <f t="shared" si="14"/>
        <v>#VALUE!</v>
      </c>
      <c r="AX19" s="184" t="e">
        <f t="shared" si="15"/>
        <v>#VALUE!</v>
      </c>
      <c r="AY19" s="184" t="e">
        <f t="shared" si="16"/>
        <v>#VALUE!</v>
      </c>
      <c r="AZ19" s="184" t="e">
        <f t="shared" si="17"/>
        <v>#VALUE!</v>
      </c>
      <c r="BA19" s="184" t="e">
        <f t="shared" si="18"/>
        <v>#VALUE!</v>
      </c>
      <c r="BB19" s="184" t="e">
        <f t="shared" si="19"/>
        <v>#VALUE!</v>
      </c>
      <c r="BC19" s="184" t="e">
        <f t="shared" si="20"/>
        <v>#VALUE!</v>
      </c>
      <c r="BD19" s="184" t="e">
        <f t="shared" si="21"/>
        <v>#VALUE!</v>
      </c>
      <c r="BE19" s="184" t="e">
        <f t="shared" si="22"/>
        <v>#VALUE!</v>
      </c>
      <c r="BF19" s="184" t="e">
        <f t="shared" si="23"/>
        <v>#VALUE!</v>
      </c>
      <c r="BG19" s="184" t="e">
        <f t="shared" si="24"/>
        <v>#VALUE!</v>
      </c>
      <c r="BH19" s="184" t="e">
        <f t="shared" si="25"/>
        <v>#VALUE!</v>
      </c>
      <c r="BI19" s="184" t="e">
        <f t="shared" si="26"/>
        <v>#VALUE!</v>
      </c>
      <c r="BJ19" s="184" t="e">
        <f t="shared" si="27"/>
        <v>#VALUE!</v>
      </c>
      <c r="BK19" s="184" t="e">
        <f t="shared" si="28"/>
        <v>#VALUE!</v>
      </c>
      <c r="BL19" s="184" t="e">
        <f t="shared" si="29"/>
        <v>#VALUE!</v>
      </c>
      <c r="BM19" s="184" t="e">
        <f t="shared" si="30"/>
        <v>#VALUE!</v>
      </c>
      <c r="BN19" s="184" t="e">
        <f t="shared" si="31"/>
        <v>#VALUE!</v>
      </c>
      <c r="BO19" s="184" t="e">
        <f t="shared" si="32"/>
        <v>#VALUE!</v>
      </c>
      <c r="BP19" s="184" t="e">
        <f t="shared" si="33"/>
        <v>#VALUE!</v>
      </c>
      <c r="BQ19" s="184" t="e">
        <f t="shared" si="34"/>
        <v>#VALUE!</v>
      </c>
    </row>
    <row r="20" spans="1:69" ht="78.75" x14ac:dyDescent="0.25">
      <c r="A20" s="154" t="s">
        <v>46</v>
      </c>
      <c r="B20" s="141" t="s">
        <v>36</v>
      </c>
      <c r="C20" s="139" t="s">
        <v>37</v>
      </c>
      <c r="D20" s="141" t="s">
        <v>45</v>
      </c>
      <c r="E20" s="122">
        <v>10326</v>
      </c>
      <c r="F20" s="80">
        <f t="shared" si="1"/>
        <v>8385.7299999999977</v>
      </c>
      <c r="G20" s="80">
        <f t="shared" si="2"/>
        <v>4715.29</v>
      </c>
      <c r="H20" s="3">
        <v>3569.64</v>
      </c>
      <c r="I20" s="84">
        <v>0</v>
      </c>
      <c r="J20" s="3">
        <v>0</v>
      </c>
      <c r="K20" s="20">
        <f t="shared" si="3"/>
        <v>1078.03</v>
      </c>
      <c r="L20" s="3">
        <v>67.62</v>
      </c>
      <c r="M20" s="84">
        <v>720.18</v>
      </c>
      <c r="N20" s="84">
        <v>153.13</v>
      </c>
      <c r="O20" s="84">
        <v>22.19</v>
      </c>
      <c r="P20" s="84">
        <v>0</v>
      </c>
      <c r="Q20" s="84">
        <v>0</v>
      </c>
      <c r="R20" s="3">
        <v>280.41000000000003</v>
      </c>
      <c r="S20" s="84">
        <v>471.28</v>
      </c>
      <c r="T20" s="3">
        <v>592.61</v>
      </c>
      <c r="U20" s="3">
        <v>0</v>
      </c>
      <c r="V20" s="84">
        <v>9.7100000000000009</v>
      </c>
      <c r="W20" s="3">
        <v>0</v>
      </c>
      <c r="X20" s="20">
        <f t="shared" si="4"/>
        <v>1540.62</v>
      </c>
      <c r="Y20" s="85">
        <v>1183.27</v>
      </c>
      <c r="Z20" s="84">
        <v>0</v>
      </c>
      <c r="AA20" s="3">
        <v>0</v>
      </c>
      <c r="AB20" s="20">
        <f t="shared" si="5"/>
        <v>357.35</v>
      </c>
      <c r="AC20" s="84">
        <v>0</v>
      </c>
      <c r="AD20" s="168">
        <f>60.55-4.92</f>
        <v>55.629999999999995</v>
      </c>
      <c r="AE20" s="20">
        <f t="shared" si="6"/>
        <v>86591</v>
      </c>
      <c r="AF20" s="173">
        <v>93.5</v>
      </c>
      <c r="AG20" s="3">
        <f>SUM(AE20:AF22)</f>
        <v>87522.6</v>
      </c>
      <c r="AH20" s="3">
        <v>87522.6</v>
      </c>
      <c r="AI20" s="5">
        <f>AH20-AG20</f>
        <v>0</v>
      </c>
      <c r="AJ20">
        <f>AI20*1000/E20</f>
        <v>0</v>
      </c>
      <c r="AK20" s="171">
        <v>87522.441479999703</v>
      </c>
      <c r="AL20" s="5">
        <f>AK20-AG20</f>
        <v>-0.15852000030281488</v>
      </c>
      <c r="AM20" s="55"/>
      <c r="AN20" s="55"/>
      <c r="AO20" s="5">
        <v>8390.665921405418</v>
      </c>
      <c r="AP20" s="5">
        <f t="shared" si="7"/>
        <v>4.9359214054202312</v>
      </c>
      <c r="AR20" s="184">
        <f t="shared" si="9"/>
        <v>2</v>
      </c>
      <c r="AS20" s="184">
        <f t="shared" si="10"/>
        <v>2</v>
      </c>
      <c r="AT20" s="184">
        <f t="shared" si="11"/>
        <v>2</v>
      </c>
      <c r="AU20" s="184" t="e">
        <f t="shared" si="12"/>
        <v>#VALUE!</v>
      </c>
      <c r="AV20" s="184" t="e">
        <f t="shared" si="13"/>
        <v>#VALUE!</v>
      </c>
      <c r="AW20" s="184">
        <f t="shared" si="14"/>
        <v>2</v>
      </c>
      <c r="AX20" s="184">
        <f t="shared" si="15"/>
        <v>2</v>
      </c>
      <c r="AY20" s="184">
        <f t="shared" si="16"/>
        <v>2</v>
      </c>
      <c r="AZ20" s="184">
        <f t="shared" si="17"/>
        <v>2</v>
      </c>
      <c r="BA20" s="184">
        <f t="shared" si="18"/>
        <v>2</v>
      </c>
      <c r="BB20" s="184" t="e">
        <f t="shared" si="19"/>
        <v>#VALUE!</v>
      </c>
      <c r="BC20" s="184" t="e">
        <f t="shared" si="20"/>
        <v>#VALUE!</v>
      </c>
      <c r="BD20" s="184">
        <f t="shared" si="21"/>
        <v>2</v>
      </c>
      <c r="BE20" s="184">
        <f t="shared" si="22"/>
        <v>2</v>
      </c>
      <c r="BF20" s="184">
        <f t="shared" si="23"/>
        <v>2</v>
      </c>
      <c r="BG20" s="184" t="e">
        <f t="shared" si="24"/>
        <v>#VALUE!</v>
      </c>
      <c r="BH20" s="184">
        <f t="shared" si="25"/>
        <v>2</v>
      </c>
      <c r="BI20" s="184" t="e">
        <f t="shared" si="26"/>
        <v>#VALUE!</v>
      </c>
      <c r="BJ20" s="184">
        <f t="shared" si="27"/>
        <v>2</v>
      </c>
      <c r="BK20" s="184">
        <f t="shared" si="28"/>
        <v>2</v>
      </c>
      <c r="BL20" s="184" t="e">
        <f t="shared" si="29"/>
        <v>#VALUE!</v>
      </c>
      <c r="BM20" s="184" t="e">
        <f t="shared" si="30"/>
        <v>#VALUE!</v>
      </c>
      <c r="BN20" s="184">
        <f t="shared" si="31"/>
        <v>2</v>
      </c>
      <c r="BO20" s="184" t="e">
        <f t="shared" si="32"/>
        <v>#VALUE!</v>
      </c>
      <c r="BP20" s="184">
        <f t="shared" si="33"/>
        <v>2</v>
      </c>
      <c r="BQ20" s="184" t="e">
        <f t="shared" si="34"/>
        <v>#VALUE!</v>
      </c>
    </row>
    <row r="21" spans="1:69" ht="63" x14ac:dyDescent="0.25">
      <c r="A21" s="154" t="s">
        <v>46</v>
      </c>
      <c r="B21" s="141" t="s">
        <v>39</v>
      </c>
      <c r="C21" s="139" t="s">
        <v>40</v>
      </c>
      <c r="D21" s="141" t="s">
        <v>45</v>
      </c>
      <c r="E21" s="122">
        <v>36</v>
      </c>
      <c r="F21" s="80">
        <f t="shared" si="1"/>
        <v>23281.05</v>
      </c>
      <c r="G21" s="80">
        <f t="shared" si="2"/>
        <v>12025.119999999999</v>
      </c>
      <c r="H21" s="3">
        <v>8668.52</v>
      </c>
      <c r="I21" s="84">
        <v>0</v>
      </c>
      <c r="J21" s="3">
        <v>0</v>
      </c>
      <c r="K21" s="20">
        <f t="shared" si="3"/>
        <v>2617.89</v>
      </c>
      <c r="L21" s="3">
        <v>738.71</v>
      </c>
      <c r="M21" s="84">
        <v>723.67</v>
      </c>
      <c r="N21" s="84">
        <v>416.67</v>
      </c>
      <c r="O21" s="84">
        <v>0</v>
      </c>
      <c r="P21" s="84">
        <v>0</v>
      </c>
      <c r="Q21" s="84">
        <v>0</v>
      </c>
      <c r="R21" s="3">
        <v>2416.19</v>
      </c>
      <c r="S21" s="84">
        <v>0</v>
      </c>
      <c r="T21" s="3">
        <v>0</v>
      </c>
      <c r="U21" s="3">
        <v>0</v>
      </c>
      <c r="V21" s="84">
        <v>40.51</v>
      </c>
      <c r="W21" s="3">
        <v>0</v>
      </c>
      <c r="X21" s="20">
        <f t="shared" si="4"/>
        <v>8075.56</v>
      </c>
      <c r="Y21" s="85">
        <v>6202.43</v>
      </c>
      <c r="Z21" s="84">
        <v>0</v>
      </c>
      <c r="AA21" s="3">
        <v>0</v>
      </c>
      <c r="AB21" s="20">
        <f t="shared" si="5"/>
        <v>1873.13</v>
      </c>
      <c r="AC21" s="84">
        <v>0</v>
      </c>
      <c r="AD21" s="84">
        <v>0</v>
      </c>
      <c r="AE21" s="20">
        <f t="shared" si="6"/>
        <v>838.1</v>
      </c>
      <c r="AF21" s="84">
        <v>0</v>
      </c>
      <c r="AG21" s="3"/>
      <c r="AH21" s="3"/>
      <c r="AI21" s="3"/>
      <c r="AJ21" s="3"/>
      <c r="AK21" s="171"/>
      <c r="AL21" s="5"/>
      <c r="AM21" s="55"/>
      <c r="AN21" s="55"/>
      <c r="AO21" s="5">
        <v>23281.070970104436</v>
      </c>
      <c r="AP21" s="5">
        <f t="shared" si="7"/>
        <v>2.0970104436855763E-2</v>
      </c>
      <c r="AR21" s="184">
        <f t="shared" si="9"/>
        <v>2</v>
      </c>
      <c r="AS21" s="184">
        <f t="shared" si="10"/>
        <v>2</v>
      </c>
      <c r="AT21" s="184">
        <f t="shared" si="11"/>
        <v>2</v>
      </c>
      <c r="AU21" s="184" t="e">
        <f t="shared" si="12"/>
        <v>#VALUE!</v>
      </c>
      <c r="AV21" s="184" t="e">
        <f t="shared" si="13"/>
        <v>#VALUE!</v>
      </c>
      <c r="AW21" s="184">
        <f t="shared" si="14"/>
        <v>2</v>
      </c>
      <c r="AX21" s="184">
        <f t="shared" si="15"/>
        <v>2</v>
      </c>
      <c r="AY21" s="184">
        <f t="shared" si="16"/>
        <v>2</v>
      </c>
      <c r="AZ21" s="184">
        <f t="shared" si="17"/>
        <v>2</v>
      </c>
      <c r="BA21" s="184" t="e">
        <f t="shared" si="18"/>
        <v>#VALUE!</v>
      </c>
      <c r="BB21" s="184" t="e">
        <f t="shared" si="19"/>
        <v>#VALUE!</v>
      </c>
      <c r="BC21" s="184" t="e">
        <f t="shared" si="20"/>
        <v>#VALUE!</v>
      </c>
      <c r="BD21" s="184">
        <f t="shared" si="21"/>
        <v>2</v>
      </c>
      <c r="BE21" s="184" t="e">
        <f t="shared" si="22"/>
        <v>#VALUE!</v>
      </c>
      <c r="BF21" s="184" t="e">
        <f t="shared" si="23"/>
        <v>#VALUE!</v>
      </c>
      <c r="BG21" s="184" t="e">
        <f t="shared" si="24"/>
        <v>#VALUE!</v>
      </c>
      <c r="BH21" s="184">
        <f t="shared" si="25"/>
        <v>2</v>
      </c>
      <c r="BI21" s="184" t="e">
        <f t="shared" si="26"/>
        <v>#VALUE!</v>
      </c>
      <c r="BJ21" s="184">
        <f t="shared" si="27"/>
        <v>2</v>
      </c>
      <c r="BK21" s="184">
        <f t="shared" si="28"/>
        <v>2</v>
      </c>
      <c r="BL21" s="184" t="e">
        <f t="shared" si="29"/>
        <v>#VALUE!</v>
      </c>
      <c r="BM21" s="184" t="e">
        <f t="shared" si="30"/>
        <v>#VALUE!</v>
      </c>
      <c r="BN21" s="184">
        <f t="shared" si="31"/>
        <v>2</v>
      </c>
      <c r="BO21" s="184" t="e">
        <f t="shared" si="32"/>
        <v>#VALUE!</v>
      </c>
      <c r="BP21" s="184" t="e">
        <f t="shared" si="33"/>
        <v>#VALUE!</v>
      </c>
      <c r="BQ21" s="184">
        <f t="shared" si="34"/>
        <v>1</v>
      </c>
    </row>
    <row r="22" spans="1:69" ht="47.25" x14ac:dyDescent="0.25">
      <c r="A22" s="154" t="s">
        <v>46</v>
      </c>
      <c r="B22" s="139" t="s">
        <v>41</v>
      </c>
      <c r="C22" s="139" t="s">
        <v>42</v>
      </c>
      <c r="D22" s="141" t="s">
        <v>38</v>
      </c>
      <c r="E22" s="122">
        <v>0</v>
      </c>
      <c r="F22" s="80">
        <f t="shared" si="1"/>
        <v>0</v>
      </c>
      <c r="G22" s="80">
        <f t="shared" si="2"/>
        <v>0</v>
      </c>
      <c r="H22" s="3">
        <v>0</v>
      </c>
      <c r="I22" s="84">
        <v>0</v>
      </c>
      <c r="J22" s="3">
        <v>0</v>
      </c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3">
        <v>0</v>
      </c>
      <c r="S22" s="84">
        <v>0</v>
      </c>
      <c r="T22" s="3">
        <v>0</v>
      </c>
      <c r="U22" s="3">
        <v>0</v>
      </c>
      <c r="V22" s="84">
        <v>0</v>
      </c>
      <c r="W22" s="3">
        <v>0</v>
      </c>
      <c r="X22" s="20">
        <f t="shared" si="4"/>
        <v>0</v>
      </c>
      <c r="Y22" s="85">
        <v>0</v>
      </c>
      <c r="Z22" s="84">
        <v>0</v>
      </c>
      <c r="AA22" s="3">
        <v>0</v>
      </c>
      <c r="AB22" s="20">
        <f t="shared" si="5"/>
        <v>0</v>
      </c>
      <c r="AC22" s="84">
        <v>0</v>
      </c>
      <c r="AD22" s="84">
        <v>0</v>
      </c>
      <c r="AE22" s="20">
        <f t="shared" si="6"/>
        <v>0</v>
      </c>
      <c r="AF22" s="84">
        <v>0</v>
      </c>
      <c r="AG22" s="3"/>
      <c r="AH22" s="3"/>
      <c r="AI22" s="3"/>
      <c r="AJ22" s="3"/>
      <c r="AK22" s="171"/>
      <c r="AL22" s="5"/>
      <c r="AM22" s="55"/>
      <c r="AN22" s="55"/>
      <c r="AO22" s="5">
        <v>0</v>
      </c>
      <c r="AP22" s="5">
        <f t="shared" si="7"/>
        <v>0</v>
      </c>
      <c r="AR22" s="184" t="e">
        <f t="shared" si="9"/>
        <v>#VALUE!</v>
      </c>
      <c r="AS22" s="184" t="e">
        <f t="shared" si="10"/>
        <v>#VALUE!</v>
      </c>
      <c r="AT22" s="184" t="e">
        <f t="shared" si="11"/>
        <v>#VALUE!</v>
      </c>
      <c r="AU22" s="184" t="e">
        <f t="shared" si="12"/>
        <v>#VALUE!</v>
      </c>
      <c r="AV22" s="184" t="e">
        <f t="shared" si="13"/>
        <v>#VALUE!</v>
      </c>
      <c r="AW22" s="184" t="e">
        <f t="shared" si="14"/>
        <v>#VALUE!</v>
      </c>
      <c r="AX22" s="184" t="e">
        <f t="shared" si="15"/>
        <v>#VALUE!</v>
      </c>
      <c r="AY22" s="184" t="e">
        <f t="shared" si="16"/>
        <v>#VALUE!</v>
      </c>
      <c r="AZ22" s="184" t="e">
        <f t="shared" si="17"/>
        <v>#VALUE!</v>
      </c>
      <c r="BA22" s="184" t="e">
        <f t="shared" si="18"/>
        <v>#VALUE!</v>
      </c>
      <c r="BB22" s="184" t="e">
        <f t="shared" si="19"/>
        <v>#VALUE!</v>
      </c>
      <c r="BC22" s="184" t="e">
        <f t="shared" si="20"/>
        <v>#VALUE!</v>
      </c>
      <c r="BD22" s="184" t="e">
        <f t="shared" si="21"/>
        <v>#VALUE!</v>
      </c>
      <c r="BE22" s="184" t="e">
        <f t="shared" si="22"/>
        <v>#VALUE!</v>
      </c>
      <c r="BF22" s="184" t="e">
        <f t="shared" si="23"/>
        <v>#VALUE!</v>
      </c>
      <c r="BG22" s="184" t="e">
        <f t="shared" si="24"/>
        <v>#VALUE!</v>
      </c>
      <c r="BH22" s="184" t="e">
        <f t="shared" si="25"/>
        <v>#VALUE!</v>
      </c>
      <c r="BI22" s="184" t="e">
        <f t="shared" si="26"/>
        <v>#VALUE!</v>
      </c>
      <c r="BJ22" s="184" t="e">
        <f t="shared" si="27"/>
        <v>#VALUE!</v>
      </c>
      <c r="BK22" s="184" t="e">
        <f t="shared" si="28"/>
        <v>#VALUE!</v>
      </c>
      <c r="BL22" s="184" t="e">
        <f t="shared" si="29"/>
        <v>#VALUE!</v>
      </c>
      <c r="BM22" s="184" t="e">
        <f t="shared" si="30"/>
        <v>#VALUE!</v>
      </c>
      <c r="BN22" s="184" t="e">
        <f t="shared" si="31"/>
        <v>#VALUE!</v>
      </c>
      <c r="BO22" s="184" t="e">
        <f t="shared" si="32"/>
        <v>#VALUE!</v>
      </c>
      <c r="BP22" s="184" t="e">
        <f t="shared" si="33"/>
        <v>#VALUE!</v>
      </c>
      <c r="BQ22" s="184" t="e">
        <f t="shared" si="34"/>
        <v>#VALUE!</v>
      </c>
    </row>
    <row r="23" spans="1:69" ht="78.75" x14ac:dyDescent="0.25">
      <c r="A23" s="154" t="s">
        <v>47</v>
      </c>
      <c r="B23" s="139" t="s">
        <v>36</v>
      </c>
      <c r="C23" s="139" t="s">
        <v>37</v>
      </c>
      <c r="D23" s="142" t="s">
        <v>38</v>
      </c>
      <c r="E23" s="143">
        <v>18230</v>
      </c>
      <c r="F23" s="80">
        <f t="shared" si="1"/>
        <v>5750</v>
      </c>
      <c r="G23" s="80">
        <f t="shared" si="2"/>
        <v>3419.2599999999998</v>
      </c>
      <c r="H23" s="20">
        <v>2626.16</v>
      </c>
      <c r="I23" s="25">
        <v>0</v>
      </c>
      <c r="J23" s="25">
        <v>0</v>
      </c>
      <c r="K23" s="20">
        <f t="shared" si="3"/>
        <v>793.1</v>
      </c>
      <c r="L23" s="25">
        <v>0</v>
      </c>
      <c r="M23" s="21">
        <v>636.49</v>
      </c>
      <c r="N23" s="25">
        <v>602.1</v>
      </c>
      <c r="O23" s="25">
        <v>34.39</v>
      </c>
      <c r="P23" s="26">
        <v>0</v>
      </c>
      <c r="Q23" s="25">
        <v>255.07</v>
      </c>
      <c r="R23" s="25">
        <v>170.18</v>
      </c>
      <c r="S23" s="25">
        <v>285.17</v>
      </c>
      <c r="T23" s="25">
        <v>8.9</v>
      </c>
      <c r="U23" s="20">
        <v>0</v>
      </c>
      <c r="V23" s="25">
        <v>23.61</v>
      </c>
      <c r="W23" s="25">
        <v>41.67</v>
      </c>
      <c r="X23" s="20">
        <f t="shared" si="4"/>
        <v>895.13</v>
      </c>
      <c r="Y23" s="27">
        <v>687.5</v>
      </c>
      <c r="Z23" s="27">
        <v>0</v>
      </c>
      <c r="AA23" s="27">
        <v>0</v>
      </c>
      <c r="AB23" s="20">
        <f t="shared" si="5"/>
        <v>207.63</v>
      </c>
      <c r="AC23" s="25">
        <v>0</v>
      </c>
      <c r="AD23" s="176">
        <f>23.67-9.15</f>
        <v>14.520000000000001</v>
      </c>
      <c r="AE23" s="20">
        <f t="shared" si="6"/>
        <v>104822.5</v>
      </c>
      <c r="AF23" s="174">
        <v>324.3</v>
      </c>
      <c r="AG23" s="237">
        <f>ROUND(AE23+AE24+AE25+AF23,1)</f>
        <v>111749.1</v>
      </c>
      <c r="AH23" s="3">
        <v>111749.1</v>
      </c>
      <c r="AI23" s="5">
        <f>AH23-AG23</f>
        <v>0</v>
      </c>
      <c r="AJ23">
        <f>AI23*1000/E23</f>
        <v>0</v>
      </c>
      <c r="AK23" s="171">
        <v>111749.2</v>
      </c>
      <c r="AL23" s="5">
        <f>AK23-AG23</f>
        <v>9.9999999991268851E-2</v>
      </c>
      <c r="AM23" s="55">
        <f t="shared" ref="AM23:AM25" si="35">(G23+X23)*E23/1000</f>
        <v>78651.329699999987</v>
      </c>
      <c r="AN23" s="55">
        <v>80329.582241999989</v>
      </c>
      <c r="AO23" s="5">
        <v>5759.1583750936197</v>
      </c>
      <c r="AP23" s="5">
        <f t="shared" si="7"/>
        <v>9.1583750936197248</v>
      </c>
      <c r="AR23" s="184" t="e">
        <f t="shared" si="9"/>
        <v>#VALUE!</v>
      </c>
      <c r="AS23" s="184">
        <f t="shared" si="10"/>
        <v>2</v>
      </c>
      <c r="AT23" s="184">
        <f t="shared" si="11"/>
        <v>2</v>
      </c>
      <c r="AU23" s="184" t="e">
        <f t="shared" si="12"/>
        <v>#VALUE!</v>
      </c>
      <c r="AV23" s="184" t="e">
        <f t="shared" si="13"/>
        <v>#VALUE!</v>
      </c>
      <c r="AW23" s="184">
        <f t="shared" si="14"/>
        <v>1</v>
      </c>
      <c r="AX23" s="184" t="e">
        <f t="shared" si="15"/>
        <v>#VALUE!</v>
      </c>
      <c r="AY23" s="184">
        <f t="shared" si="16"/>
        <v>2</v>
      </c>
      <c r="AZ23" s="184">
        <f t="shared" si="17"/>
        <v>1</v>
      </c>
      <c r="BA23" s="184">
        <f t="shared" si="18"/>
        <v>2</v>
      </c>
      <c r="BB23" s="184" t="e">
        <f t="shared" si="19"/>
        <v>#VALUE!</v>
      </c>
      <c r="BC23" s="184">
        <f t="shared" si="20"/>
        <v>2</v>
      </c>
      <c r="BD23" s="184">
        <f t="shared" si="21"/>
        <v>2</v>
      </c>
      <c r="BE23" s="184">
        <f t="shared" si="22"/>
        <v>2</v>
      </c>
      <c r="BF23" s="184">
        <f t="shared" si="23"/>
        <v>1</v>
      </c>
      <c r="BG23" s="184" t="e">
        <f t="shared" si="24"/>
        <v>#VALUE!</v>
      </c>
      <c r="BH23" s="184">
        <f t="shared" si="25"/>
        <v>2</v>
      </c>
      <c r="BI23" s="184">
        <f t="shared" si="26"/>
        <v>2</v>
      </c>
      <c r="BJ23" s="184">
        <f t="shared" si="27"/>
        <v>2</v>
      </c>
      <c r="BK23" s="184">
        <f t="shared" si="28"/>
        <v>1</v>
      </c>
      <c r="BL23" s="184" t="e">
        <f t="shared" si="29"/>
        <v>#VALUE!</v>
      </c>
      <c r="BM23" s="184" t="e">
        <f t="shared" si="30"/>
        <v>#VALUE!</v>
      </c>
      <c r="BN23" s="184">
        <f t="shared" si="31"/>
        <v>2</v>
      </c>
      <c r="BO23" s="184" t="e">
        <f t="shared" si="32"/>
        <v>#VALUE!</v>
      </c>
      <c r="BP23" s="184">
        <f t="shared" si="33"/>
        <v>2</v>
      </c>
      <c r="BQ23" s="184">
        <f t="shared" si="34"/>
        <v>1</v>
      </c>
    </row>
    <row r="24" spans="1:69" ht="63" x14ac:dyDescent="0.25">
      <c r="A24" s="154" t="s">
        <v>47</v>
      </c>
      <c r="B24" s="139" t="s">
        <v>39</v>
      </c>
      <c r="C24" s="139" t="s">
        <v>40</v>
      </c>
      <c r="D24" s="142" t="s">
        <v>38</v>
      </c>
      <c r="E24" s="143">
        <v>220</v>
      </c>
      <c r="F24" s="80">
        <f t="shared" si="1"/>
        <v>15684.46</v>
      </c>
      <c r="G24" s="80">
        <f t="shared" si="2"/>
        <v>11247.929999999998</v>
      </c>
      <c r="H24" s="20">
        <v>8638.9599999999991</v>
      </c>
      <c r="I24" s="25">
        <v>0</v>
      </c>
      <c r="J24" s="25">
        <v>0</v>
      </c>
      <c r="K24" s="20">
        <f t="shared" si="3"/>
        <v>2608.9699999999998</v>
      </c>
      <c r="L24" s="25">
        <v>0</v>
      </c>
      <c r="M24" s="25">
        <v>1149.3699999999999</v>
      </c>
      <c r="N24" s="25">
        <v>0</v>
      </c>
      <c r="O24" s="25">
        <v>0</v>
      </c>
      <c r="P24" s="26">
        <v>0</v>
      </c>
      <c r="Q24" s="25">
        <v>1847.73</v>
      </c>
      <c r="R24" s="25">
        <v>170.18</v>
      </c>
      <c r="S24" s="25">
        <v>285.17</v>
      </c>
      <c r="T24" s="25">
        <v>0</v>
      </c>
      <c r="U24" s="20">
        <v>0</v>
      </c>
      <c r="V24" s="25">
        <v>23.61</v>
      </c>
      <c r="W24" s="25">
        <v>41.67</v>
      </c>
      <c r="X24" s="20">
        <f t="shared" si="4"/>
        <v>895.13</v>
      </c>
      <c r="Y24" s="27">
        <v>687.5</v>
      </c>
      <c r="Z24" s="27">
        <v>0</v>
      </c>
      <c r="AA24" s="27">
        <v>0</v>
      </c>
      <c r="AB24" s="20">
        <f t="shared" si="5"/>
        <v>207.63</v>
      </c>
      <c r="AC24" s="25">
        <v>0</v>
      </c>
      <c r="AD24" s="25">
        <v>23.67</v>
      </c>
      <c r="AE24" s="20">
        <f t="shared" si="6"/>
        <v>3450.6</v>
      </c>
      <c r="AF24" s="160">
        <v>0</v>
      </c>
      <c r="AG24" s="237"/>
      <c r="AH24" s="3"/>
      <c r="AI24" s="3"/>
      <c r="AJ24" s="3"/>
      <c r="AK24" s="171"/>
      <c r="AL24" s="5"/>
      <c r="AM24" s="55">
        <f t="shared" si="35"/>
        <v>2671.4731999999995</v>
      </c>
      <c r="AN24" s="55">
        <v>2678.9424660000004</v>
      </c>
      <c r="AO24" s="5">
        <v>15684.460893809523</v>
      </c>
      <c r="AP24" s="5">
        <f t="shared" si="7"/>
        <v>8.9380952340434305E-4</v>
      </c>
      <c r="AR24" s="184">
        <f t="shared" si="9"/>
        <v>2</v>
      </c>
      <c r="AS24" s="184">
        <f t="shared" si="10"/>
        <v>2</v>
      </c>
      <c r="AT24" s="184">
        <f t="shared" si="11"/>
        <v>2</v>
      </c>
      <c r="AU24" s="184" t="e">
        <f t="shared" si="12"/>
        <v>#VALUE!</v>
      </c>
      <c r="AV24" s="184" t="e">
        <f t="shared" si="13"/>
        <v>#VALUE!</v>
      </c>
      <c r="AW24" s="184">
        <f t="shared" si="14"/>
        <v>2</v>
      </c>
      <c r="AX24" s="184" t="e">
        <f t="shared" si="15"/>
        <v>#VALUE!</v>
      </c>
      <c r="AY24" s="184">
        <f t="shared" si="16"/>
        <v>2</v>
      </c>
      <c r="AZ24" s="184" t="e">
        <f t="shared" si="17"/>
        <v>#VALUE!</v>
      </c>
      <c r="BA24" s="184" t="e">
        <f t="shared" si="18"/>
        <v>#VALUE!</v>
      </c>
      <c r="BB24" s="184" t="e">
        <f t="shared" si="19"/>
        <v>#VALUE!</v>
      </c>
      <c r="BC24" s="184">
        <f t="shared" si="20"/>
        <v>2</v>
      </c>
      <c r="BD24" s="184">
        <f t="shared" si="21"/>
        <v>2</v>
      </c>
      <c r="BE24" s="184">
        <f t="shared" si="22"/>
        <v>2</v>
      </c>
      <c r="BF24" s="184" t="e">
        <f t="shared" si="23"/>
        <v>#VALUE!</v>
      </c>
      <c r="BG24" s="184" t="e">
        <f t="shared" si="24"/>
        <v>#VALUE!</v>
      </c>
      <c r="BH24" s="184">
        <f t="shared" si="25"/>
        <v>2</v>
      </c>
      <c r="BI24" s="184">
        <f t="shared" si="26"/>
        <v>2</v>
      </c>
      <c r="BJ24" s="184">
        <f t="shared" si="27"/>
        <v>2</v>
      </c>
      <c r="BK24" s="184">
        <f t="shared" si="28"/>
        <v>1</v>
      </c>
      <c r="BL24" s="184" t="e">
        <f t="shared" si="29"/>
        <v>#VALUE!</v>
      </c>
      <c r="BM24" s="184" t="e">
        <f t="shared" si="30"/>
        <v>#VALUE!</v>
      </c>
      <c r="BN24" s="184">
        <f t="shared" si="31"/>
        <v>2</v>
      </c>
      <c r="BO24" s="184" t="e">
        <f t="shared" si="32"/>
        <v>#VALUE!</v>
      </c>
      <c r="BP24" s="184">
        <f t="shared" si="33"/>
        <v>2</v>
      </c>
      <c r="BQ24" s="184">
        <f t="shared" si="34"/>
        <v>1</v>
      </c>
    </row>
    <row r="25" spans="1:69" ht="45" x14ac:dyDescent="0.25">
      <c r="A25" s="154" t="s">
        <v>47</v>
      </c>
      <c r="B25" s="139" t="s">
        <v>41</v>
      </c>
      <c r="C25" s="140" t="s">
        <v>42</v>
      </c>
      <c r="D25" s="142" t="s">
        <v>38</v>
      </c>
      <c r="E25" s="143">
        <v>30</v>
      </c>
      <c r="F25" s="80">
        <f t="shared" si="1"/>
        <v>105055.37000000001</v>
      </c>
      <c r="G25" s="80">
        <f t="shared" si="2"/>
        <v>78950.510000000009</v>
      </c>
      <c r="H25" s="20">
        <v>60637.87</v>
      </c>
      <c r="I25" s="20">
        <v>0</v>
      </c>
      <c r="J25" s="20">
        <v>0</v>
      </c>
      <c r="K25" s="20">
        <f t="shared" si="3"/>
        <v>18312.64</v>
      </c>
      <c r="L25" s="20">
        <v>0</v>
      </c>
      <c r="M25" s="20">
        <v>684.66</v>
      </c>
      <c r="N25" s="20">
        <v>0</v>
      </c>
      <c r="O25" s="20">
        <v>0</v>
      </c>
      <c r="P25" s="20">
        <v>0</v>
      </c>
      <c r="Q25" s="20">
        <v>23980.77</v>
      </c>
      <c r="R25" s="20">
        <v>170.18</v>
      </c>
      <c r="S25" s="20">
        <v>285.17</v>
      </c>
      <c r="T25" s="20">
        <v>0</v>
      </c>
      <c r="U25" s="20">
        <v>0</v>
      </c>
      <c r="V25" s="20">
        <v>23.61</v>
      </c>
      <c r="W25" s="27">
        <v>41.67</v>
      </c>
      <c r="X25" s="20">
        <f t="shared" si="4"/>
        <v>895.13</v>
      </c>
      <c r="Y25" s="27">
        <v>687.5</v>
      </c>
      <c r="Z25" s="20">
        <v>0</v>
      </c>
      <c r="AA25" s="20">
        <v>0</v>
      </c>
      <c r="AB25" s="20">
        <f t="shared" si="5"/>
        <v>207.63</v>
      </c>
      <c r="AC25" s="25">
        <v>0</v>
      </c>
      <c r="AD25" s="25">
        <v>23.67</v>
      </c>
      <c r="AE25" s="20">
        <f t="shared" si="6"/>
        <v>3151.7</v>
      </c>
      <c r="AF25" s="91">
        <v>0</v>
      </c>
      <c r="AG25" s="237"/>
      <c r="AH25" s="3"/>
      <c r="AI25" s="3"/>
      <c r="AJ25" s="3"/>
      <c r="AK25" s="171"/>
      <c r="AL25" s="5"/>
      <c r="AM25" s="55">
        <f t="shared" si="35"/>
        <v>2395.3692000000001</v>
      </c>
      <c r="AN25" s="55">
        <v>2332.5985570000003</v>
      </c>
      <c r="AO25" s="5">
        <v>105055.36876017317</v>
      </c>
      <c r="AP25" s="5">
        <f t="shared" si="7"/>
        <v>-1.2398268445394933E-3</v>
      </c>
      <c r="AR25" s="184">
        <f t="shared" si="9"/>
        <v>2</v>
      </c>
      <c r="AS25" s="184">
        <f t="shared" si="10"/>
        <v>2</v>
      </c>
      <c r="AT25" s="184">
        <f t="shared" si="11"/>
        <v>2</v>
      </c>
      <c r="AU25" s="184" t="e">
        <f t="shared" si="12"/>
        <v>#VALUE!</v>
      </c>
      <c r="AV25" s="184" t="e">
        <f t="shared" si="13"/>
        <v>#VALUE!</v>
      </c>
      <c r="AW25" s="184">
        <f t="shared" si="14"/>
        <v>2</v>
      </c>
      <c r="AX25" s="184" t="e">
        <f t="shared" si="15"/>
        <v>#VALUE!</v>
      </c>
      <c r="AY25" s="184">
        <f t="shared" si="16"/>
        <v>2</v>
      </c>
      <c r="AZ25" s="184" t="e">
        <f t="shared" si="17"/>
        <v>#VALUE!</v>
      </c>
      <c r="BA25" s="184" t="e">
        <f t="shared" si="18"/>
        <v>#VALUE!</v>
      </c>
      <c r="BB25" s="184" t="e">
        <f t="shared" si="19"/>
        <v>#VALUE!</v>
      </c>
      <c r="BC25" s="184">
        <f t="shared" si="20"/>
        <v>2</v>
      </c>
      <c r="BD25" s="184">
        <f t="shared" si="21"/>
        <v>2</v>
      </c>
      <c r="BE25" s="184">
        <f t="shared" si="22"/>
        <v>2</v>
      </c>
      <c r="BF25" s="184" t="e">
        <f t="shared" si="23"/>
        <v>#VALUE!</v>
      </c>
      <c r="BG25" s="184" t="e">
        <f t="shared" si="24"/>
        <v>#VALUE!</v>
      </c>
      <c r="BH25" s="184">
        <f t="shared" si="25"/>
        <v>2</v>
      </c>
      <c r="BI25" s="184">
        <f t="shared" si="26"/>
        <v>2</v>
      </c>
      <c r="BJ25" s="184">
        <f t="shared" si="27"/>
        <v>2</v>
      </c>
      <c r="BK25" s="184">
        <f t="shared" si="28"/>
        <v>1</v>
      </c>
      <c r="BL25" s="184" t="e">
        <f t="shared" si="29"/>
        <v>#VALUE!</v>
      </c>
      <c r="BM25" s="184" t="e">
        <f t="shared" si="30"/>
        <v>#VALUE!</v>
      </c>
      <c r="BN25" s="184">
        <f t="shared" si="31"/>
        <v>2</v>
      </c>
      <c r="BO25" s="184" t="e">
        <f t="shared" si="32"/>
        <v>#VALUE!</v>
      </c>
      <c r="BP25" s="184">
        <f t="shared" si="33"/>
        <v>2</v>
      </c>
      <c r="BQ25" s="184">
        <f t="shared" si="34"/>
        <v>1</v>
      </c>
    </row>
    <row r="26" spans="1:69" ht="78.75" x14ac:dyDescent="0.25">
      <c r="A26" s="154" t="s">
        <v>48</v>
      </c>
      <c r="B26" s="139" t="s">
        <v>49</v>
      </c>
      <c r="C26" s="139" t="s">
        <v>37</v>
      </c>
      <c r="D26" s="58" t="s">
        <v>38</v>
      </c>
      <c r="E26" s="122">
        <v>24172</v>
      </c>
      <c r="F26" s="80">
        <f t="shared" si="1"/>
        <v>4234.28</v>
      </c>
      <c r="G26" s="80">
        <f t="shared" si="2"/>
        <v>2996.2799999999997</v>
      </c>
      <c r="H26" s="3">
        <v>2301.29</v>
      </c>
      <c r="I26" s="84">
        <v>0</v>
      </c>
      <c r="J26" s="3">
        <v>0</v>
      </c>
      <c r="K26" s="20">
        <f t="shared" si="3"/>
        <v>694.99</v>
      </c>
      <c r="L26" s="3"/>
      <c r="M26" s="84">
        <v>165.85</v>
      </c>
      <c r="N26" s="84">
        <v>0</v>
      </c>
      <c r="O26" s="84">
        <v>21.51</v>
      </c>
      <c r="P26" s="84">
        <v>0</v>
      </c>
      <c r="Q26" s="84">
        <v>120.99</v>
      </c>
      <c r="R26" s="3">
        <v>81.52</v>
      </c>
      <c r="S26" s="84">
        <v>594.85</v>
      </c>
      <c r="T26" s="3">
        <v>23.83</v>
      </c>
      <c r="U26" s="3">
        <v>0</v>
      </c>
      <c r="V26" s="84">
        <v>16</v>
      </c>
      <c r="W26" s="3">
        <v>0</v>
      </c>
      <c r="X26" s="20">
        <f t="shared" si="4"/>
        <v>153.61000000000001</v>
      </c>
      <c r="Y26" s="85">
        <v>117.98</v>
      </c>
      <c r="Z26" s="84">
        <v>0</v>
      </c>
      <c r="AA26" s="3">
        <v>0</v>
      </c>
      <c r="AB26" s="20">
        <f t="shared" si="5"/>
        <v>35.630000000000003</v>
      </c>
      <c r="AC26" s="84">
        <v>0</v>
      </c>
      <c r="AD26" s="168">
        <f>82.03-0.68</f>
        <v>81.349999999999994</v>
      </c>
      <c r="AE26" s="20">
        <f t="shared" si="6"/>
        <v>102351</v>
      </c>
      <c r="AF26" s="173">
        <v>656.9</v>
      </c>
      <c r="AG26" s="237">
        <f>ROUND(AE26+AE27+AE28+AF26,1)</f>
        <v>103646.6</v>
      </c>
      <c r="AH26" s="3">
        <v>103646.6</v>
      </c>
      <c r="AI26" s="5">
        <f>AH26-AG26</f>
        <v>0</v>
      </c>
      <c r="AJ26">
        <f>AI26*1000/E26</f>
        <v>0</v>
      </c>
      <c r="AK26" s="171">
        <v>103646.65311999999</v>
      </c>
      <c r="AL26" s="5">
        <f>AK26-AG26</f>
        <v>5.3119999982300214E-2</v>
      </c>
      <c r="AM26" s="55"/>
      <c r="AN26" s="55"/>
      <c r="AO26" s="5">
        <v>4234.9699999999993</v>
      </c>
      <c r="AP26" s="5">
        <f t="shared" si="7"/>
        <v>0.68999999999959982</v>
      </c>
      <c r="AR26" s="184">
        <f t="shared" si="9"/>
        <v>2</v>
      </c>
      <c r="AS26" s="184">
        <f t="shared" si="10"/>
        <v>2</v>
      </c>
      <c r="AT26" s="184">
        <f t="shared" si="11"/>
        <v>2</v>
      </c>
      <c r="AU26" s="184" t="e">
        <f t="shared" si="12"/>
        <v>#VALUE!</v>
      </c>
      <c r="AV26" s="184" t="e">
        <f t="shared" si="13"/>
        <v>#VALUE!</v>
      </c>
      <c r="AW26" s="184">
        <f t="shared" si="14"/>
        <v>2</v>
      </c>
      <c r="AX26" s="184" t="e">
        <f t="shared" si="15"/>
        <v>#VALUE!</v>
      </c>
      <c r="AY26" s="184">
        <f t="shared" si="16"/>
        <v>2</v>
      </c>
      <c r="AZ26" s="184" t="e">
        <f t="shared" si="17"/>
        <v>#VALUE!</v>
      </c>
      <c r="BA26" s="184">
        <f t="shared" si="18"/>
        <v>2</v>
      </c>
      <c r="BB26" s="184" t="e">
        <f t="shared" si="19"/>
        <v>#VALUE!</v>
      </c>
      <c r="BC26" s="184">
        <f t="shared" si="20"/>
        <v>2</v>
      </c>
      <c r="BD26" s="184">
        <f t="shared" si="21"/>
        <v>2</v>
      </c>
      <c r="BE26" s="184">
        <f t="shared" si="22"/>
        <v>2</v>
      </c>
      <c r="BF26" s="184">
        <f t="shared" si="23"/>
        <v>2</v>
      </c>
      <c r="BG26" s="184" t="e">
        <f t="shared" si="24"/>
        <v>#VALUE!</v>
      </c>
      <c r="BH26" s="184" t="e">
        <f t="shared" si="25"/>
        <v>#VALUE!</v>
      </c>
      <c r="BI26" s="184" t="e">
        <f t="shared" si="26"/>
        <v>#VALUE!</v>
      </c>
      <c r="BJ26" s="184">
        <f t="shared" si="27"/>
        <v>2</v>
      </c>
      <c r="BK26" s="184">
        <f t="shared" si="28"/>
        <v>2</v>
      </c>
      <c r="BL26" s="184" t="e">
        <f t="shared" si="29"/>
        <v>#VALUE!</v>
      </c>
      <c r="BM26" s="184" t="e">
        <f t="shared" si="30"/>
        <v>#VALUE!</v>
      </c>
      <c r="BN26" s="184">
        <f t="shared" si="31"/>
        <v>2</v>
      </c>
      <c r="BO26" s="184" t="e">
        <f t="shared" si="32"/>
        <v>#VALUE!</v>
      </c>
      <c r="BP26" s="184">
        <f t="shared" si="33"/>
        <v>2</v>
      </c>
      <c r="BQ26" s="184" t="e">
        <f t="shared" si="34"/>
        <v>#VALUE!</v>
      </c>
    </row>
    <row r="27" spans="1:69" ht="63" x14ac:dyDescent="0.25">
      <c r="A27" s="154" t="s">
        <v>48</v>
      </c>
      <c r="B27" s="139" t="s">
        <v>50</v>
      </c>
      <c r="C27" s="139" t="s">
        <v>40</v>
      </c>
      <c r="D27" s="58" t="s">
        <v>38</v>
      </c>
      <c r="E27" s="121">
        <v>24</v>
      </c>
      <c r="F27" s="120">
        <f t="shared" si="1"/>
        <v>15565.049999999997</v>
      </c>
      <c r="G27" s="80">
        <f t="shared" si="2"/>
        <v>11517.779999999999</v>
      </c>
      <c r="H27" s="3">
        <v>8846.2199999999993</v>
      </c>
      <c r="I27" s="3">
        <v>0</v>
      </c>
      <c r="J27" s="3">
        <v>0</v>
      </c>
      <c r="K27" s="3">
        <f t="shared" si="3"/>
        <v>2671.56</v>
      </c>
      <c r="L27" s="3">
        <v>0</v>
      </c>
      <c r="M27" s="3">
        <v>2038.96</v>
      </c>
      <c r="N27" s="3">
        <v>0</v>
      </c>
      <c r="O27" s="3">
        <v>0</v>
      </c>
      <c r="P27" s="3">
        <v>0</v>
      </c>
      <c r="Q27" s="3">
        <v>0</v>
      </c>
      <c r="R27" s="3">
        <v>1816.64</v>
      </c>
      <c r="S27" s="3">
        <v>0</v>
      </c>
      <c r="T27" s="3">
        <v>191.67</v>
      </c>
      <c r="U27" s="3">
        <v>0</v>
      </c>
      <c r="V27" s="3">
        <v>0</v>
      </c>
      <c r="W27" s="3">
        <v>0</v>
      </c>
      <c r="X27" s="3">
        <f>Y27+Z27+AA27+AB27+AC27</f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20">
        <f t="shared" si="6"/>
        <v>373.6</v>
      </c>
      <c r="AF27" s="84">
        <v>0</v>
      </c>
      <c r="AG27" s="237"/>
      <c r="AH27" s="3"/>
      <c r="AI27" s="3"/>
      <c r="AJ27" s="3"/>
      <c r="AK27" s="171"/>
      <c r="AL27" s="5"/>
      <c r="AM27" s="55"/>
      <c r="AN27" s="55"/>
      <c r="AO27" s="5">
        <v>7623.7000000000007</v>
      </c>
      <c r="AP27" s="5">
        <f t="shared" si="7"/>
        <v>-7941.3499999999967</v>
      </c>
      <c r="AR27" s="184">
        <f t="shared" si="9"/>
        <v>2</v>
      </c>
      <c r="AS27" s="184">
        <f t="shared" si="10"/>
        <v>2</v>
      </c>
      <c r="AT27" s="184">
        <f t="shared" si="11"/>
        <v>2</v>
      </c>
      <c r="AU27" s="184" t="e">
        <f t="shared" si="12"/>
        <v>#VALUE!</v>
      </c>
      <c r="AV27" s="184" t="e">
        <f t="shared" si="13"/>
        <v>#VALUE!</v>
      </c>
      <c r="AW27" s="184">
        <f t="shared" si="14"/>
        <v>2</v>
      </c>
      <c r="AX27" s="184" t="e">
        <f t="shared" si="15"/>
        <v>#VALUE!</v>
      </c>
      <c r="AY27" s="184">
        <f t="shared" si="16"/>
        <v>2</v>
      </c>
      <c r="AZ27" s="184" t="e">
        <f t="shared" si="17"/>
        <v>#VALUE!</v>
      </c>
      <c r="BA27" s="184" t="e">
        <f t="shared" si="18"/>
        <v>#VALUE!</v>
      </c>
      <c r="BB27" s="184" t="e">
        <f t="shared" si="19"/>
        <v>#VALUE!</v>
      </c>
      <c r="BC27" s="184" t="e">
        <f t="shared" si="20"/>
        <v>#VALUE!</v>
      </c>
      <c r="BD27" s="184">
        <f t="shared" si="21"/>
        <v>2</v>
      </c>
      <c r="BE27" s="184" t="e">
        <f t="shared" si="22"/>
        <v>#VALUE!</v>
      </c>
      <c r="BF27" s="184">
        <f t="shared" si="23"/>
        <v>2</v>
      </c>
      <c r="BG27" s="184" t="e">
        <f t="shared" si="24"/>
        <v>#VALUE!</v>
      </c>
      <c r="BH27" s="184" t="e">
        <f t="shared" si="25"/>
        <v>#VALUE!</v>
      </c>
      <c r="BI27" s="184" t="e">
        <f t="shared" si="26"/>
        <v>#VALUE!</v>
      </c>
      <c r="BJ27" s="184" t="e">
        <f t="shared" si="27"/>
        <v>#VALUE!</v>
      </c>
      <c r="BK27" s="184" t="e">
        <f t="shared" si="28"/>
        <v>#VALUE!</v>
      </c>
      <c r="BL27" s="184" t="e">
        <f t="shared" si="29"/>
        <v>#VALUE!</v>
      </c>
      <c r="BM27" s="184" t="e">
        <f t="shared" si="30"/>
        <v>#VALUE!</v>
      </c>
      <c r="BN27" s="184" t="e">
        <f t="shared" si="31"/>
        <v>#VALUE!</v>
      </c>
      <c r="BO27" s="184" t="e">
        <f t="shared" si="32"/>
        <v>#VALUE!</v>
      </c>
      <c r="BP27" s="184" t="e">
        <f t="shared" si="33"/>
        <v>#VALUE!</v>
      </c>
      <c r="BQ27" s="184">
        <f t="shared" si="34"/>
        <v>1</v>
      </c>
    </row>
    <row r="28" spans="1:69" ht="45" x14ac:dyDescent="0.25">
      <c r="A28" s="154" t="s">
        <v>48</v>
      </c>
      <c r="B28" s="139" t="s">
        <v>41</v>
      </c>
      <c r="C28" s="140" t="s">
        <v>42</v>
      </c>
      <c r="D28" s="142" t="s">
        <v>38</v>
      </c>
      <c r="E28" s="122">
        <v>3</v>
      </c>
      <c r="F28" s="80">
        <f t="shared" si="1"/>
        <v>88361.859999999986</v>
      </c>
      <c r="G28" s="80">
        <f t="shared" si="2"/>
        <v>65387.74</v>
      </c>
      <c r="H28" s="3">
        <v>50221</v>
      </c>
      <c r="I28" s="84">
        <v>0</v>
      </c>
      <c r="J28" s="3">
        <v>0</v>
      </c>
      <c r="K28" s="20">
        <f t="shared" si="3"/>
        <v>15166.74</v>
      </c>
      <c r="L28" s="3"/>
      <c r="M28" s="84">
        <v>4350</v>
      </c>
      <c r="N28" s="84">
        <v>0</v>
      </c>
      <c r="O28" s="84">
        <v>4350</v>
      </c>
      <c r="P28" s="84">
        <v>0</v>
      </c>
      <c r="Q28" s="84">
        <v>333.33</v>
      </c>
      <c r="R28" s="3">
        <v>0</v>
      </c>
      <c r="S28" s="84">
        <v>0</v>
      </c>
      <c r="T28" s="3">
        <v>650.03</v>
      </c>
      <c r="U28" s="3">
        <v>0</v>
      </c>
      <c r="V28" s="84">
        <v>0</v>
      </c>
      <c r="W28" s="3">
        <v>0</v>
      </c>
      <c r="X28" s="20">
        <f t="shared" si="4"/>
        <v>0</v>
      </c>
      <c r="Y28" s="85">
        <v>0</v>
      </c>
      <c r="Z28" s="84">
        <v>0</v>
      </c>
      <c r="AA28" s="3">
        <v>0</v>
      </c>
      <c r="AB28" s="20">
        <f t="shared" si="5"/>
        <v>0</v>
      </c>
      <c r="AC28" s="84">
        <v>0</v>
      </c>
      <c r="AD28" s="84">
        <v>17640.759999999998</v>
      </c>
      <c r="AE28" s="20">
        <f t="shared" si="6"/>
        <v>265.10000000000002</v>
      </c>
      <c r="AF28" s="84">
        <v>0</v>
      </c>
      <c r="AG28" s="237"/>
      <c r="AH28" s="3"/>
      <c r="AI28" s="3"/>
      <c r="AJ28" s="3"/>
      <c r="AK28" s="171"/>
      <c r="AL28" s="5"/>
      <c r="AM28" s="55"/>
      <c r="AN28" s="55"/>
      <c r="AO28" s="5">
        <v>88361.859999999986</v>
      </c>
      <c r="AP28" s="5">
        <f t="shared" si="7"/>
        <v>0</v>
      </c>
      <c r="AR28" s="184">
        <f t="shared" si="9"/>
        <v>2</v>
      </c>
      <c r="AS28" s="184">
        <f t="shared" si="10"/>
        <v>2</v>
      </c>
      <c r="AT28" s="184" t="e">
        <f t="shared" si="11"/>
        <v>#VALUE!</v>
      </c>
      <c r="AU28" s="184" t="e">
        <f t="shared" si="12"/>
        <v>#VALUE!</v>
      </c>
      <c r="AV28" s="184" t="e">
        <f t="shared" si="13"/>
        <v>#VALUE!</v>
      </c>
      <c r="AW28" s="184">
        <f t="shared" si="14"/>
        <v>2</v>
      </c>
      <c r="AX28" s="184" t="e">
        <f t="shared" si="15"/>
        <v>#VALUE!</v>
      </c>
      <c r="AY28" s="184" t="e">
        <f t="shared" si="16"/>
        <v>#VALUE!</v>
      </c>
      <c r="AZ28" s="184" t="e">
        <f t="shared" si="17"/>
        <v>#VALUE!</v>
      </c>
      <c r="BA28" s="184" t="e">
        <f t="shared" si="18"/>
        <v>#VALUE!</v>
      </c>
      <c r="BB28" s="184" t="e">
        <f t="shared" si="19"/>
        <v>#VALUE!</v>
      </c>
      <c r="BC28" s="184">
        <f t="shared" si="20"/>
        <v>2</v>
      </c>
      <c r="BD28" s="184" t="e">
        <f t="shared" si="21"/>
        <v>#VALUE!</v>
      </c>
      <c r="BE28" s="184" t="e">
        <f t="shared" si="22"/>
        <v>#VALUE!</v>
      </c>
      <c r="BF28" s="184">
        <f t="shared" si="23"/>
        <v>2</v>
      </c>
      <c r="BG28" s="184" t="e">
        <f t="shared" si="24"/>
        <v>#VALUE!</v>
      </c>
      <c r="BH28" s="184" t="e">
        <f t="shared" si="25"/>
        <v>#VALUE!</v>
      </c>
      <c r="BI28" s="184" t="e">
        <f t="shared" si="26"/>
        <v>#VALUE!</v>
      </c>
      <c r="BJ28" s="184" t="e">
        <f t="shared" si="27"/>
        <v>#VALUE!</v>
      </c>
      <c r="BK28" s="184" t="e">
        <f t="shared" si="28"/>
        <v>#VALUE!</v>
      </c>
      <c r="BL28" s="184" t="e">
        <f t="shared" si="29"/>
        <v>#VALUE!</v>
      </c>
      <c r="BM28" s="184" t="e">
        <f t="shared" si="30"/>
        <v>#VALUE!</v>
      </c>
      <c r="BN28" s="184" t="e">
        <f t="shared" si="31"/>
        <v>#VALUE!</v>
      </c>
      <c r="BO28" s="184" t="e">
        <f t="shared" si="32"/>
        <v>#VALUE!</v>
      </c>
      <c r="BP28" s="184">
        <f t="shared" si="33"/>
        <v>2</v>
      </c>
      <c r="BQ28" s="184">
        <f t="shared" si="34"/>
        <v>1</v>
      </c>
    </row>
    <row r="29" spans="1:69" ht="78.75" x14ac:dyDescent="0.25">
      <c r="A29" s="154" t="s">
        <v>51</v>
      </c>
      <c r="B29" s="139" t="s">
        <v>49</v>
      </c>
      <c r="C29" s="139" t="s">
        <v>37</v>
      </c>
      <c r="D29" s="144" t="s">
        <v>45</v>
      </c>
      <c r="E29" s="122">
        <v>31014</v>
      </c>
      <c r="F29" s="80">
        <f t="shared" si="1"/>
        <v>3277.49</v>
      </c>
      <c r="G29" s="80">
        <f t="shared" si="2"/>
        <v>1993.5099999999998</v>
      </c>
      <c r="H29" s="3">
        <v>1531.11</v>
      </c>
      <c r="I29" s="84">
        <v>0</v>
      </c>
      <c r="J29" s="3">
        <v>0</v>
      </c>
      <c r="K29" s="20">
        <f t="shared" si="3"/>
        <v>462.4</v>
      </c>
      <c r="L29" s="3"/>
      <c r="M29" s="84">
        <v>206.05</v>
      </c>
      <c r="N29" s="84">
        <v>16.97</v>
      </c>
      <c r="O29" s="84">
        <v>34.9</v>
      </c>
      <c r="P29" s="84">
        <v>0</v>
      </c>
      <c r="Q29" s="84">
        <v>78.92</v>
      </c>
      <c r="R29" s="3">
        <v>235.10999999999999</v>
      </c>
      <c r="S29" s="84">
        <v>216.20000000000002</v>
      </c>
      <c r="T29" s="3">
        <v>44.12</v>
      </c>
      <c r="U29" s="3">
        <v>0</v>
      </c>
      <c r="V29" s="84">
        <v>30.45</v>
      </c>
      <c r="W29" s="3">
        <v>0</v>
      </c>
      <c r="X29" s="20">
        <f t="shared" si="4"/>
        <v>461.75</v>
      </c>
      <c r="Y29" s="85">
        <v>354.65</v>
      </c>
      <c r="Z29" s="84">
        <v>0</v>
      </c>
      <c r="AA29" s="3">
        <v>0</v>
      </c>
      <c r="AB29" s="20">
        <f t="shared" si="5"/>
        <v>107.1</v>
      </c>
      <c r="AC29" s="84">
        <v>0</v>
      </c>
      <c r="AD29" s="168">
        <f>65.1-14.23-39.49</f>
        <v>11.379999999999988</v>
      </c>
      <c r="AE29" s="20">
        <f t="shared" si="6"/>
        <v>101648.1</v>
      </c>
      <c r="AF29" s="173">
        <v>457</v>
      </c>
      <c r="AG29" s="237">
        <f>ROUND(AE29+AE30+AE31+AF29,1)</f>
        <v>102661.6</v>
      </c>
      <c r="AH29" s="3">
        <v>102661.6</v>
      </c>
      <c r="AI29" s="5">
        <f>AH29-AG29</f>
        <v>0</v>
      </c>
      <c r="AJ29">
        <f>AI29*1000/E29</f>
        <v>0</v>
      </c>
      <c r="AK29" s="171">
        <v>102661.61547405999</v>
      </c>
      <c r="AL29" s="5">
        <f>AK29-AG29</f>
        <v>1.5474059982807375E-2</v>
      </c>
      <c r="AM29" s="55"/>
      <c r="AN29" s="55"/>
      <c r="AO29" s="5">
        <v>3288.8655799999992</v>
      </c>
      <c r="AP29" s="5">
        <f t="shared" si="7"/>
        <v>11.375579999999445</v>
      </c>
      <c r="AR29" s="184">
        <f t="shared" si="9"/>
        <v>2</v>
      </c>
      <c r="AS29" s="184">
        <f t="shared" si="10"/>
        <v>2</v>
      </c>
      <c r="AT29" s="184">
        <f t="shared" si="11"/>
        <v>2</v>
      </c>
      <c r="AU29" s="184" t="e">
        <f t="shared" si="12"/>
        <v>#VALUE!</v>
      </c>
      <c r="AV29" s="184" t="e">
        <f t="shared" si="13"/>
        <v>#VALUE!</v>
      </c>
      <c r="AW29" s="184">
        <f t="shared" si="14"/>
        <v>1</v>
      </c>
      <c r="AX29" s="184" t="e">
        <f t="shared" si="15"/>
        <v>#VALUE!</v>
      </c>
      <c r="AY29" s="184">
        <f t="shared" si="16"/>
        <v>2</v>
      </c>
      <c r="AZ29" s="184">
        <f t="shared" si="17"/>
        <v>2</v>
      </c>
      <c r="BA29" s="184">
        <f t="shared" si="18"/>
        <v>1</v>
      </c>
      <c r="BB29" s="184" t="e">
        <f t="shared" si="19"/>
        <v>#VALUE!</v>
      </c>
      <c r="BC29" s="184">
        <f t="shared" si="20"/>
        <v>2</v>
      </c>
      <c r="BD29" s="184">
        <f t="shared" si="21"/>
        <v>2</v>
      </c>
      <c r="BE29" s="184">
        <f t="shared" si="22"/>
        <v>1</v>
      </c>
      <c r="BF29" s="184">
        <f t="shared" si="23"/>
        <v>2</v>
      </c>
      <c r="BG29" s="184" t="e">
        <f t="shared" si="24"/>
        <v>#VALUE!</v>
      </c>
      <c r="BH29" s="184">
        <f t="shared" si="25"/>
        <v>2</v>
      </c>
      <c r="BI29" s="184" t="e">
        <f t="shared" si="26"/>
        <v>#VALUE!</v>
      </c>
      <c r="BJ29" s="184">
        <f t="shared" si="27"/>
        <v>2</v>
      </c>
      <c r="BK29" s="184">
        <f t="shared" si="28"/>
        <v>2</v>
      </c>
      <c r="BL29" s="184" t="e">
        <f t="shared" si="29"/>
        <v>#VALUE!</v>
      </c>
      <c r="BM29" s="184" t="e">
        <f t="shared" si="30"/>
        <v>#VALUE!</v>
      </c>
      <c r="BN29" s="184">
        <f t="shared" si="31"/>
        <v>1</v>
      </c>
      <c r="BO29" s="184" t="e">
        <f t="shared" si="32"/>
        <v>#VALUE!</v>
      </c>
      <c r="BP29" s="184">
        <f t="shared" si="33"/>
        <v>2</v>
      </c>
      <c r="BQ29" s="184">
        <f t="shared" si="34"/>
        <v>1</v>
      </c>
    </row>
    <row r="30" spans="1:69" ht="63" x14ac:dyDescent="0.25">
      <c r="A30" s="154" t="s">
        <v>51</v>
      </c>
      <c r="B30" s="139" t="s">
        <v>50</v>
      </c>
      <c r="C30" s="139" t="s">
        <v>40</v>
      </c>
      <c r="D30" s="144" t="s">
        <v>45</v>
      </c>
      <c r="E30" s="122">
        <v>36</v>
      </c>
      <c r="F30" s="80">
        <f t="shared" si="1"/>
        <v>15457.78</v>
      </c>
      <c r="G30" s="80">
        <f t="shared" si="2"/>
        <v>10522.09</v>
      </c>
      <c r="H30" s="3">
        <v>8081.48</v>
      </c>
      <c r="I30" s="84">
        <v>0</v>
      </c>
      <c r="J30" s="3">
        <v>0</v>
      </c>
      <c r="K30" s="20">
        <f t="shared" si="3"/>
        <v>2440.61</v>
      </c>
      <c r="L30" s="3"/>
      <c r="M30" s="84">
        <v>887.33999999999992</v>
      </c>
      <c r="N30" s="84">
        <v>0</v>
      </c>
      <c r="O30" s="84">
        <v>514.5</v>
      </c>
      <c r="P30" s="84">
        <v>0</v>
      </c>
      <c r="Q30" s="84">
        <v>41.67</v>
      </c>
      <c r="R30" s="3">
        <v>506.39</v>
      </c>
      <c r="S30" s="84">
        <v>547.55999999999995</v>
      </c>
      <c r="T30" s="3">
        <v>764.2</v>
      </c>
      <c r="U30" s="3">
        <v>0</v>
      </c>
      <c r="V30" s="84">
        <v>743.78</v>
      </c>
      <c r="W30" s="3">
        <v>0</v>
      </c>
      <c r="X30" s="20">
        <f t="shared" si="4"/>
        <v>975.25</v>
      </c>
      <c r="Y30" s="85">
        <v>749.04</v>
      </c>
      <c r="Z30" s="84">
        <v>0</v>
      </c>
      <c r="AA30" s="3">
        <v>0</v>
      </c>
      <c r="AB30" s="20">
        <f t="shared" si="5"/>
        <v>226.21</v>
      </c>
      <c r="AC30" s="84">
        <v>0</v>
      </c>
      <c r="AD30" s="168">
        <f>475.05-5.55</f>
        <v>469.5</v>
      </c>
      <c r="AE30" s="20">
        <f t="shared" si="6"/>
        <v>556.5</v>
      </c>
      <c r="AF30" s="84">
        <v>0</v>
      </c>
      <c r="AG30" s="237"/>
      <c r="AH30" s="3"/>
      <c r="AI30" s="3"/>
      <c r="AJ30">
        <f>AI29*1000/E30</f>
        <v>0</v>
      </c>
      <c r="AK30" s="171"/>
      <c r="AL30" s="5"/>
      <c r="AM30" s="55"/>
      <c r="AN30" s="55"/>
      <c r="AO30" s="5">
        <v>13917.108249999999</v>
      </c>
      <c r="AP30" s="5">
        <f t="shared" si="7"/>
        <v>-1540.6717500000013</v>
      </c>
      <c r="AR30" s="184">
        <f t="shared" si="9"/>
        <v>2</v>
      </c>
      <c r="AS30" s="184">
        <f t="shared" si="10"/>
        <v>2</v>
      </c>
      <c r="AT30" s="184">
        <f t="shared" si="11"/>
        <v>2</v>
      </c>
      <c r="AU30" s="184" t="e">
        <f t="shared" si="12"/>
        <v>#VALUE!</v>
      </c>
      <c r="AV30" s="184" t="e">
        <f t="shared" si="13"/>
        <v>#VALUE!</v>
      </c>
      <c r="AW30" s="184">
        <f t="shared" si="14"/>
        <v>2</v>
      </c>
      <c r="AX30" s="184" t="e">
        <f t="shared" si="15"/>
        <v>#VALUE!</v>
      </c>
      <c r="AY30" s="184">
        <f t="shared" si="16"/>
        <v>2</v>
      </c>
      <c r="AZ30" s="184" t="e">
        <f t="shared" si="17"/>
        <v>#VALUE!</v>
      </c>
      <c r="BA30" s="184">
        <f t="shared" si="18"/>
        <v>1</v>
      </c>
      <c r="BB30" s="184" t="e">
        <f t="shared" si="19"/>
        <v>#VALUE!</v>
      </c>
      <c r="BC30" s="184">
        <f t="shared" si="20"/>
        <v>2</v>
      </c>
      <c r="BD30" s="184">
        <f t="shared" si="21"/>
        <v>2</v>
      </c>
      <c r="BE30" s="184">
        <f t="shared" si="22"/>
        <v>2</v>
      </c>
      <c r="BF30" s="184">
        <f t="shared" si="23"/>
        <v>1</v>
      </c>
      <c r="BG30" s="184" t="e">
        <f t="shared" si="24"/>
        <v>#VALUE!</v>
      </c>
      <c r="BH30" s="184">
        <f t="shared" si="25"/>
        <v>2</v>
      </c>
      <c r="BI30" s="184" t="e">
        <f t="shared" si="26"/>
        <v>#VALUE!</v>
      </c>
      <c r="BJ30" s="184">
        <f t="shared" si="27"/>
        <v>2</v>
      </c>
      <c r="BK30" s="184">
        <f t="shared" si="28"/>
        <v>2</v>
      </c>
      <c r="BL30" s="184" t="e">
        <f t="shared" si="29"/>
        <v>#VALUE!</v>
      </c>
      <c r="BM30" s="184" t="e">
        <f t="shared" si="30"/>
        <v>#VALUE!</v>
      </c>
      <c r="BN30" s="184">
        <f t="shared" si="31"/>
        <v>2</v>
      </c>
      <c r="BO30" s="184" t="e">
        <f t="shared" si="32"/>
        <v>#VALUE!</v>
      </c>
      <c r="BP30" s="184">
        <f t="shared" si="33"/>
        <v>1</v>
      </c>
      <c r="BQ30" s="184">
        <f t="shared" si="34"/>
        <v>1</v>
      </c>
    </row>
    <row r="31" spans="1:69" ht="45" x14ac:dyDescent="0.25">
      <c r="A31" s="154" t="s">
        <v>51</v>
      </c>
      <c r="B31" s="139" t="s">
        <v>41</v>
      </c>
      <c r="C31" s="140" t="s">
        <v>42</v>
      </c>
      <c r="D31" s="142" t="s">
        <v>38</v>
      </c>
      <c r="E31" s="122">
        <v>0</v>
      </c>
      <c r="F31" s="80">
        <f t="shared" si="1"/>
        <v>0</v>
      </c>
      <c r="G31" s="80">
        <f t="shared" si="2"/>
        <v>0</v>
      </c>
      <c r="H31" s="3">
        <v>0</v>
      </c>
      <c r="I31" s="84">
        <v>0</v>
      </c>
      <c r="J31" s="3">
        <v>0</v>
      </c>
      <c r="K31" s="20">
        <f t="shared" si="3"/>
        <v>0</v>
      </c>
      <c r="L31" s="3"/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3">
        <v>0</v>
      </c>
      <c r="S31" s="84">
        <v>0</v>
      </c>
      <c r="T31" s="3">
        <v>0</v>
      </c>
      <c r="U31" s="3">
        <v>0</v>
      </c>
      <c r="V31" s="84">
        <v>0</v>
      </c>
      <c r="W31" s="3">
        <v>0</v>
      </c>
      <c r="X31" s="20">
        <f t="shared" si="4"/>
        <v>0</v>
      </c>
      <c r="Y31" s="85">
        <v>0</v>
      </c>
      <c r="Z31" s="84">
        <v>0</v>
      </c>
      <c r="AA31" s="3">
        <v>0</v>
      </c>
      <c r="AB31" s="20">
        <f t="shared" si="5"/>
        <v>0</v>
      </c>
      <c r="AC31" s="84">
        <v>0</v>
      </c>
      <c r="AD31" s="84">
        <v>0</v>
      </c>
      <c r="AE31" s="20">
        <f t="shared" si="6"/>
        <v>0</v>
      </c>
      <c r="AF31" s="84">
        <v>0</v>
      </c>
      <c r="AG31" s="237"/>
      <c r="AH31" s="3"/>
      <c r="AI31" s="3"/>
      <c r="AJ31" s="3"/>
      <c r="AK31" s="171"/>
      <c r="AL31" s="5"/>
      <c r="AM31" s="55"/>
      <c r="AN31" s="55"/>
      <c r="AO31" s="5">
        <v>0</v>
      </c>
      <c r="AP31" s="5">
        <f t="shared" si="7"/>
        <v>0</v>
      </c>
      <c r="AR31" s="184" t="e">
        <f t="shared" si="9"/>
        <v>#VALUE!</v>
      </c>
      <c r="AS31" s="184" t="e">
        <f t="shared" si="10"/>
        <v>#VALUE!</v>
      </c>
      <c r="AT31" s="184" t="e">
        <f t="shared" si="11"/>
        <v>#VALUE!</v>
      </c>
      <c r="AU31" s="184" t="e">
        <f t="shared" si="12"/>
        <v>#VALUE!</v>
      </c>
      <c r="AV31" s="184" t="e">
        <f t="shared" si="13"/>
        <v>#VALUE!</v>
      </c>
      <c r="AW31" s="184" t="e">
        <f t="shared" si="14"/>
        <v>#VALUE!</v>
      </c>
      <c r="AX31" s="184" t="e">
        <f t="shared" si="15"/>
        <v>#VALUE!</v>
      </c>
      <c r="AY31" s="184" t="e">
        <f t="shared" si="16"/>
        <v>#VALUE!</v>
      </c>
      <c r="AZ31" s="184" t="e">
        <f t="shared" si="17"/>
        <v>#VALUE!</v>
      </c>
      <c r="BA31" s="184" t="e">
        <f t="shared" si="18"/>
        <v>#VALUE!</v>
      </c>
      <c r="BB31" s="184" t="e">
        <f t="shared" si="19"/>
        <v>#VALUE!</v>
      </c>
      <c r="BC31" s="184" t="e">
        <f t="shared" si="20"/>
        <v>#VALUE!</v>
      </c>
      <c r="BD31" s="184" t="e">
        <f t="shared" si="21"/>
        <v>#VALUE!</v>
      </c>
      <c r="BE31" s="184" t="e">
        <f t="shared" si="22"/>
        <v>#VALUE!</v>
      </c>
      <c r="BF31" s="184" t="e">
        <f t="shared" si="23"/>
        <v>#VALUE!</v>
      </c>
      <c r="BG31" s="184" t="e">
        <f t="shared" si="24"/>
        <v>#VALUE!</v>
      </c>
      <c r="BH31" s="184" t="e">
        <f t="shared" si="25"/>
        <v>#VALUE!</v>
      </c>
      <c r="BI31" s="184" t="e">
        <f t="shared" si="26"/>
        <v>#VALUE!</v>
      </c>
      <c r="BJ31" s="184" t="e">
        <f t="shared" si="27"/>
        <v>#VALUE!</v>
      </c>
      <c r="BK31" s="184" t="e">
        <f t="shared" si="28"/>
        <v>#VALUE!</v>
      </c>
      <c r="BL31" s="184" t="e">
        <f t="shared" si="29"/>
        <v>#VALUE!</v>
      </c>
      <c r="BM31" s="184" t="e">
        <f t="shared" si="30"/>
        <v>#VALUE!</v>
      </c>
      <c r="BN31" s="184" t="e">
        <f t="shared" si="31"/>
        <v>#VALUE!</v>
      </c>
      <c r="BO31" s="184" t="e">
        <f t="shared" si="32"/>
        <v>#VALUE!</v>
      </c>
      <c r="BP31" s="184" t="e">
        <f t="shared" si="33"/>
        <v>#VALUE!</v>
      </c>
      <c r="BQ31" s="184" t="e">
        <f t="shared" si="34"/>
        <v>#VALUE!</v>
      </c>
    </row>
    <row r="32" spans="1:69" ht="78.75" x14ac:dyDescent="0.25">
      <c r="A32" s="154" t="s">
        <v>52</v>
      </c>
      <c r="B32" s="139" t="s">
        <v>36</v>
      </c>
      <c r="C32" s="139" t="s">
        <v>37</v>
      </c>
      <c r="D32" s="139" t="s">
        <v>53</v>
      </c>
      <c r="E32" s="122">
        <v>680</v>
      </c>
      <c r="F32" s="80">
        <f t="shared" si="1"/>
        <v>7034.7</v>
      </c>
      <c r="G32" s="80">
        <f t="shared" si="2"/>
        <v>2342.31</v>
      </c>
      <c r="H32" s="3">
        <v>1799.01</v>
      </c>
      <c r="I32" s="84">
        <v>0</v>
      </c>
      <c r="J32" s="3">
        <v>0</v>
      </c>
      <c r="K32" s="20">
        <f t="shared" si="3"/>
        <v>543.29999999999995</v>
      </c>
      <c r="L32" s="3"/>
      <c r="M32" s="84">
        <v>465.89</v>
      </c>
      <c r="N32" s="84">
        <v>0</v>
      </c>
      <c r="O32" s="84">
        <v>0</v>
      </c>
      <c r="P32" s="84">
        <v>0</v>
      </c>
      <c r="Q32" s="84">
        <v>883.73</v>
      </c>
      <c r="R32" s="3">
        <v>74.47</v>
      </c>
      <c r="S32" s="84">
        <v>1239.44</v>
      </c>
      <c r="T32" s="3">
        <v>0</v>
      </c>
      <c r="U32" s="3">
        <v>0</v>
      </c>
      <c r="V32" s="84">
        <v>11.25</v>
      </c>
      <c r="W32" s="3">
        <v>12.33</v>
      </c>
      <c r="X32" s="20">
        <f t="shared" si="4"/>
        <v>1892.3400000000001</v>
      </c>
      <c r="Y32" s="85">
        <v>1453.41</v>
      </c>
      <c r="Z32" s="84">
        <v>0</v>
      </c>
      <c r="AA32" s="3">
        <v>0</v>
      </c>
      <c r="AB32" s="20">
        <f t="shared" si="5"/>
        <v>438.93</v>
      </c>
      <c r="AC32" s="84">
        <v>0</v>
      </c>
      <c r="AD32" s="84">
        <v>112.94</v>
      </c>
      <c r="AE32" s="20">
        <f t="shared" si="6"/>
        <v>4783.6000000000004</v>
      </c>
      <c r="AF32" s="173">
        <v>456.3</v>
      </c>
      <c r="AG32" s="3">
        <f>SUM(AE32:AF33)</f>
        <v>8818.9000000000015</v>
      </c>
      <c r="AH32" s="3">
        <v>8818.9</v>
      </c>
      <c r="AI32" s="5">
        <f>AH32-AG32</f>
        <v>0</v>
      </c>
      <c r="AJ32">
        <f>AI32*1000/E32</f>
        <v>0</v>
      </c>
      <c r="AK32" s="171">
        <v>8818.9000000000015</v>
      </c>
      <c r="AL32" s="5">
        <f>AK32-AG32</f>
        <v>0</v>
      </c>
      <c r="AM32" s="55"/>
      <c r="AN32" s="55"/>
      <c r="AO32" s="5">
        <v>7034.7</v>
      </c>
      <c r="AP32" s="5">
        <f t="shared" si="7"/>
        <v>0</v>
      </c>
      <c r="AR32" s="184">
        <f t="shared" si="9"/>
        <v>1</v>
      </c>
      <c r="AS32" s="184">
        <f t="shared" si="10"/>
        <v>2</v>
      </c>
      <c r="AT32" s="184">
        <f t="shared" si="11"/>
        <v>2</v>
      </c>
      <c r="AU32" s="184" t="e">
        <f t="shared" si="12"/>
        <v>#VALUE!</v>
      </c>
      <c r="AV32" s="184" t="e">
        <f t="shared" si="13"/>
        <v>#VALUE!</v>
      </c>
      <c r="AW32" s="184">
        <f t="shared" si="14"/>
        <v>1</v>
      </c>
      <c r="AX32" s="184" t="e">
        <f t="shared" si="15"/>
        <v>#VALUE!</v>
      </c>
      <c r="AY32" s="184">
        <f t="shared" si="16"/>
        <v>2</v>
      </c>
      <c r="AZ32" s="184" t="e">
        <f t="shared" si="17"/>
        <v>#VALUE!</v>
      </c>
      <c r="BA32" s="184" t="e">
        <f t="shared" si="18"/>
        <v>#VALUE!</v>
      </c>
      <c r="BB32" s="184" t="e">
        <f t="shared" si="19"/>
        <v>#VALUE!</v>
      </c>
      <c r="BC32" s="184">
        <f t="shared" si="20"/>
        <v>2</v>
      </c>
      <c r="BD32" s="184">
        <f t="shared" si="21"/>
        <v>2</v>
      </c>
      <c r="BE32" s="184">
        <f t="shared" si="22"/>
        <v>2</v>
      </c>
      <c r="BF32" s="184" t="e">
        <f t="shared" si="23"/>
        <v>#VALUE!</v>
      </c>
      <c r="BG32" s="184" t="e">
        <f t="shared" si="24"/>
        <v>#VALUE!</v>
      </c>
      <c r="BH32" s="184">
        <f t="shared" si="25"/>
        <v>2</v>
      </c>
      <c r="BI32" s="184">
        <f t="shared" si="26"/>
        <v>2</v>
      </c>
      <c r="BJ32" s="184">
        <f t="shared" si="27"/>
        <v>2</v>
      </c>
      <c r="BK32" s="184">
        <f t="shared" si="28"/>
        <v>2</v>
      </c>
      <c r="BL32" s="184" t="e">
        <f t="shared" si="29"/>
        <v>#VALUE!</v>
      </c>
      <c r="BM32" s="184" t="e">
        <f t="shared" si="30"/>
        <v>#VALUE!</v>
      </c>
      <c r="BN32" s="184">
        <f t="shared" si="31"/>
        <v>2</v>
      </c>
      <c r="BO32" s="184" t="e">
        <f t="shared" si="32"/>
        <v>#VALUE!</v>
      </c>
      <c r="BP32" s="184">
        <f t="shared" si="33"/>
        <v>2</v>
      </c>
      <c r="BQ32" s="184">
        <f t="shared" si="34"/>
        <v>1</v>
      </c>
    </row>
    <row r="33" spans="1:69" ht="63" x14ac:dyDescent="0.25">
      <c r="A33" s="154" t="s">
        <v>52</v>
      </c>
      <c r="B33" s="139" t="s">
        <v>39</v>
      </c>
      <c r="C33" s="139" t="s">
        <v>40</v>
      </c>
      <c r="D33" s="139" t="s">
        <v>53</v>
      </c>
      <c r="E33" s="122">
        <v>27</v>
      </c>
      <c r="F33" s="80">
        <f t="shared" si="1"/>
        <v>132556.73000000001</v>
      </c>
      <c r="G33" s="80">
        <f t="shared" si="2"/>
        <v>53726.6</v>
      </c>
      <c r="H33" s="3">
        <v>41264.67</v>
      </c>
      <c r="I33" s="84">
        <v>0</v>
      </c>
      <c r="J33" s="3">
        <v>0</v>
      </c>
      <c r="K33" s="20">
        <f t="shared" si="3"/>
        <v>12461.93</v>
      </c>
      <c r="L33" s="3"/>
      <c r="M33" s="84">
        <v>95.97</v>
      </c>
      <c r="N33" s="84">
        <v>0</v>
      </c>
      <c r="O33" s="84">
        <v>0</v>
      </c>
      <c r="P33" s="84">
        <v>0</v>
      </c>
      <c r="Q33" s="84">
        <v>1201.3800000000001</v>
      </c>
      <c r="R33" s="3">
        <v>1099.82</v>
      </c>
      <c r="S33" s="84">
        <v>16863.12</v>
      </c>
      <c r="T33" s="181">
        <f>51059.4-16900</f>
        <v>34159.4</v>
      </c>
      <c r="U33" s="3">
        <v>0</v>
      </c>
      <c r="V33" s="84">
        <v>1672.44</v>
      </c>
      <c r="W33" s="3">
        <v>308.2</v>
      </c>
      <c r="X33" s="20">
        <f t="shared" si="4"/>
        <v>23429.800000000003</v>
      </c>
      <c r="Y33" s="85">
        <v>17995.240000000002</v>
      </c>
      <c r="Z33" s="84">
        <v>0</v>
      </c>
      <c r="AA33" s="3">
        <v>0</v>
      </c>
      <c r="AB33" s="20">
        <f t="shared" si="5"/>
        <v>5434.56</v>
      </c>
      <c r="AC33" s="84">
        <v>0</v>
      </c>
      <c r="AD33" s="84">
        <v>0</v>
      </c>
      <c r="AE33" s="20">
        <f t="shared" si="6"/>
        <v>3579</v>
      </c>
      <c r="AF33" s="84">
        <v>0</v>
      </c>
      <c r="AG33" s="3"/>
      <c r="AH33" s="3"/>
      <c r="AI33" s="3"/>
      <c r="AJ33">
        <f>AI32*1000/E33</f>
        <v>0</v>
      </c>
      <c r="AK33" s="171"/>
      <c r="AL33" s="5"/>
      <c r="AM33" s="55"/>
      <c r="AN33" s="55"/>
      <c r="AO33" s="5">
        <v>149456.73000000001</v>
      </c>
      <c r="AP33" s="5">
        <f t="shared" si="7"/>
        <v>16900</v>
      </c>
      <c r="AR33" s="184">
        <f t="shared" si="9"/>
        <v>2</v>
      </c>
      <c r="AS33" s="184">
        <f t="shared" si="10"/>
        <v>1</v>
      </c>
      <c r="AT33" s="184">
        <f t="shared" si="11"/>
        <v>2</v>
      </c>
      <c r="AU33" s="184" t="e">
        <f t="shared" si="12"/>
        <v>#VALUE!</v>
      </c>
      <c r="AV33" s="184" t="e">
        <f t="shared" si="13"/>
        <v>#VALUE!</v>
      </c>
      <c r="AW33" s="184">
        <f t="shared" si="14"/>
        <v>2</v>
      </c>
      <c r="AX33" s="184" t="e">
        <f t="shared" si="15"/>
        <v>#VALUE!</v>
      </c>
      <c r="AY33" s="184">
        <f t="shared" si="16"/>
        <v>2</v>
      </c>
      <c r="AZ33" s="184" t="e">
        <f t="shared" si="17"/>
        <v>#VALUE!</v>
      </c>
      <c r="BA33" s="184" t="e">
        <f t="shared" si="18"/>
        <v>#VALUE!</v>
      </c>
      <c r="BB33" s="184" t="e">
        <f t="shared" si="19"/>
        <v>#VALUE!</v>
      </c>
      <c r="BC33" s="184">
        <f t="shared" si="20"/>
        <v>2</v>
      </c>
      <c r="BD33" s="184">
        <f t="shared" si="21"/>
        <v>2</v>
      </c>
      <c r="BE33" s="184">
        <f t="shared" si="22"/>
        <v>2</v>
      </c>
      <c r="BF33" s="184">
        <f t="shared" si="23"/>
        <v>1</v>
      </c>
      <c r="BG33" s="184" t="e">
        <f t="shared" si="24"/>
        <v>#VALUE!</v>
      </c>
      <c r="BH33" s="184">
        <f t="shared" si="25"/>
        <v>2</v>
      </c>
      <c r="BI33" s="184">
        <f t="shared" si="26"/>
        <v>1</v>
      </c>
      <c r="BJ33" s="184">
        <f t="shared" si="27"/>
        <v>1</v>
      </c>
      <c r="BK33" s="184">
        <f t="shared" si="28"/>
        <v>2</v>
      </c>
      <c r="BL33" s="184" t="e">
        <f t="shared" si="29"/>
        <v>#VALUE!</v>
      </c>
      <c r="BM33" s="184" t="e">
        <f t="shared" si="30"/>
        <v>#VALUE!</v>
      </c>
      <c r="BN33" s="184">
        <f t="shared" si="31"/>
        <v>2</v>
      </c>
      <c r="BO33" s="184" t="e">
        <f t="shared" si="32"/>
        <v>#VALUE!</v>
      </c>
      <c r="BP33" s="184" t="e">
        <f t="shared" si="33"/>
        <v>#VALUE!</v>
      </c>
      <c r="BQ33" s="184" t="e">
        <f t="shared" si="34"/>
        <v>#VALUE!</v>
      </c>
    </row>
    <row r="34" spans="1:69" ht="78.75" x14ac:dyDescent="0.25">
      <c r="A34" s="154" t="s">
        <v>54</v>
      </c>
      <c r="B34" s="139" t="s">
        <v>49</v>
      </c>
      <c r="C34" s="139" t="s">
        <v>37</v>
      </c>
      <c r="D34" s="139" t="s">
        <v>45</v>
      </c>
      <c r="E34" s="122">
        <v>2139</v>
      </c>
      <c r="F34" s="80">
        <f t="shared" si="1"/>
        <v>1971.87</v>
      </c>
      <c r="G34" s="80">
        <f t="shared" si="2"/>
        <v>864.2</v>
      </c>
      <c r="H34" s="3">
        <v>663.75</v>
      </c>
      <c r="I34" s="84">
        <v>0</v>
      </c>
      <c r="J34" s="3">
        <v>0</v>
      </c>
      <c r="K34" s="20">
        <f t="shared" si="3"/>
        <v>200.45</v>
      </c>
      <c r="L34" s="3"/>
      <c r="M34" s="84">
        <v>88.35</v>
      </c>
      <c r="N34" s="84">
        <v>0</v>
      </c>
      <c r="O34" s="84">
        <v>89.35</v>
      </c>
      <c r="P34" s="84">
        <v>0</v>
      </c>
      <c r="Q34" s="84">
        <v>81.81</v>
      </c>
      <c r="R34" s="3">
        <v>34.53</v>
      </c>
      <c r="S34" s="84">
        <v>86.22</v>
      </c>
      <c r="T34" s="3">
        <v>95</v>
      </c>
      <c r="U34" s="3">
        <v>0</v>
      </c>
      <c r="V34" s="84">
        <v>13.5</v>
      </c>
      <c r="W34" s="3">
        <v>3.53</v>
      </c>
      <c r="X34" s="20">
        <f t="shared" si="4"/>
        <v>560.13</v>
      </c>
      <c r="Y34" s="85">
        <v>430.21</v>
      </c>
      <c r="Z34" s="84">
        <v>0</v>
      </c>
      <c r="AA34" s="3">
        <v>0</v>
      </c>
      <c r="AB34" s="20">
        <f t="shared" si="5"/>
        <v>129.91999999999999</v>
      </c>
      <c r="AC34" s="84">
        <v>0</v>
      </c>
      <c r="AD34" s="168">
        <f>347.74-203.14</f>
        <v>144.60000000000002</v>
      </c>
      <c r="AE34" s="20">
        <f t="shared" si="6"/>
        <v>4217.8</v>
      </c>
      <c r="AF34" s="173">
        <v>435</v>
      </c>
      <c r="AG34" s="3">
        <f>SUM(AE34:AF35)</f>
        <v>4959.7</v>
      </c>
      <c r="AH34" s="3">
        <v>4959.7</v>
      </c>
      <c r="AI34" s="5">
        <f>AH34-AG34</f>
        <v>0</v>
      </c>
      <c r="AJ34">
        <f>AI34*1000/E34</f>
        <v>0</v>
      </c>
      <c r="AK34" s="171">
        <v>4959.7</v>
      </c>
      <c r="AL34" s="5">
        <f>AK34-AG34</f>
        <v>0</v>
      </c>
      <c r="AM34" s="55"/>
      <c r="AN34" s="55"/>
      <c r="AO34" s="5">
        <v>2175.0120000000002</v>
      </c>
      <c r="AP34" s="5">
        <f t="shared" si="7"/>
        <v>203.14200000000028</v>
      </c>
      <c r="AR34" s="184">
        <f t="shared" si="9"/>
        <v>2</v>
      </c>
      <c r="AS34" s="184">
        <f t="shared" si="10"/>
        <v>1</v>
      </c>
      <c r="AT34" s="184">
        <f t="shared" si="11"/>
        <v>2</v>
      </c>
      <c r="AU34" s="184" t="e">
        <f t="shared" si="12"/>
        <v>#VALUE!</v>
      </c>
      <c r="AV34" s="184" t="e">
        <f t="shared" si="13"/>
        <v>#VALUE!</v>
      </c>
      <c r="AW34" s="184">
        <f t="shared" si="14"/>
        <v>2</v>
      </c>
      <c r="AX34" s="184" t="e">
        <f t="shared" si="15"/>
        <v>#VALUE!</v>
      </c>
      <c r="AY34" s="184">
        <f t="shared" si="16"/>
        <v>2</v>
      </c>
      <c r="AZ34" s="184" t="e">
        <f t="shared" si="17"/>
        <v>#VALUE!</v>
      </c>
      <c r="BA34" s="184">
        <f t="shared" si="18"/>
        <v>2</v>
      </c>
      <c r="BB34" s="184" t="e">
        <f t="shared" si="19"/>
        <v>#VALUE!</v>
      </c>
      <c r="BC34" s="184">
        <f t="shared" si="20"/>
        <v>2</v>
      </c>
      <c r="BD34" s="184">
        <f t="shared" si="21"/>
        <v>2</v>
      </c>
      <c r="BE34" s="184">
        <f t="shared" si="22"/>
        <v>2</v>
      </c>
      <c r="BF34" s="184" t="e">
        <f t="shared" si="23"/>
        <v>#VALUE!</v>
      </c>
      <c r="BG34" s="184" t="e">
        <f t="shared" si="24"/>
        <v>#VALUE!</v>
      </c>
      <c r="BH34" s="184">
        <f t="shared" si="25"/>
        <v>1</v>
      </c>
      <c r="BI34" s="184">
        <f t="shared" si="26"/>
        <v>2</v>
      </c>
      <c r="BJ34" s="184">
        <f t="shared" si="27"/>
        <v>2</v>
      </c>
      <c r="BK34" s="184">
        <f t="shared" si="28"/>
        <v>2</v>
      </c>
      <c r="BL34" s="184" t="e">
        <f t="shared" si="29"/>
        <v>#VALUE!</v>
      </c>
      <c r="BM34" s="184" t="e">
        <f t="shared" si="30"/>
        <v>#VALUE!</v>
      </c>
      <c r="BN34" s="184">
        <f t="shared" si="31"/>
        <v>2</v>
      </c>
      <c r="BO34" s="184" t="e">
        <f t="shared" si="32"/>
        <v>#VALUE!</v>
      </c>
      <c r="BP34" s="184">
        <f t="shared" si="33"/>
        <v>1</v>
      </c>
      <c r="BQ34" s="184">
        <f t="shared" si="34"/>
        <v>1</v>
      </c>
    </row>
    <row r="35" spans="1:69" ht="63" x14ac:dyDescent="0.25">
      <c r="A35" s="154" t="s">
        <v>54</v>
      </c>
      <c r="B35" s="139" t="s">
        <v>50</v>
      </c>
      <c r="C35" s="139" t="s">
        <v>40</v>
      </c>
      <c r="D35" s="139" t="s">
        <v>45</v>
      </c>
      <c r="E35" s="122">
        <v>5</v>
      </c>
      <c r="F35" s="80">
        <f t="shared" si="1"/>
        <v>61370.610000000008</v>
      </c>
      <c r="G35" s="80">
        <f t="shared" si="2"/>
        <v>30901.210000000003</v>
      </c>
      <c r="H35" s="3">
        <v>23733.65</v>
      </c>
      <c r="I35" s="84">
        <v>0</v>
      </c>
      <c r="J35" s="3">
        <v>0</v>
      </c>
      <c r="K35" s="20">
        <f t="shared" si="3"/>
        <v>7167.56</v>
      </c>
      <c r="L35" s="3"/>
      <c r="M35" s="84">
        <v>730.23</v>
      </c>
      <c r="N35" s="84">
        <v>0</v>
      </c>
      <c r="O35" s="84">
        <v>730.23</v>
      </c>
      <c r="P35" s="84">
        <v>0</v>
      </c>
      <c r="Q35" s="84">
        <v>1483.8</v>
      </c>
      <c r="R35" s="3">
        <v>1765.7</v>
      </c>
      <c r="S35" s="84">
        <v>2723.86</v>
      </c>
      <c r="T35" s="3">
        <v>8000</v>
      </c>
      <c r="U35" s="3">
        <v>0</v>
      </c>
      <c r="V35" s="84">
        <v>1619.01</v>
      </c>
      <c r="W35" s="3">
        <v>1033.3499999999999</v>
      </c>
      <c r="X35" s="20">
        <f t="shared" si="4"/>
        <v>10676.4</v>
      </c>
      <c r="Y35" s="85">
        <v>8200</v>
      </c>
      <c r="Z35" s="84">
        <v>0</v>
      </c>
      <c r="AA35" s="3">
        <v>0</v>
      </c>
      <c r="AB35" s="20">
        <f t="shared" si="5"/>
        <v>2476.4</v>
      </c>
      <c r="AC35" s="84">
        <v>0</v>
      </c>
      <c r="AD35" s="84">
        <v>2437.0500000000002</v>
      </c>
      <c r="AE35" s="20">
        <f t="shared" si="6"/>
        <v>306.89999999999998</v>
      </c>
      <c r="AF35" s="84">
        <v>0</v>
      </c>
      <c r="AG35" s="3"/>
      <c r="AH35" s="3"/>
      <c r="AI35" s="3"/>
      <c r="AK35" s="171"/>
      <c r="AL35" s="5"/>
      <c r="AM35" s="55"/>
      <c r="AN35" s="55"/>
      <c r="AO35" s="5">
        <v>61370.610000000008</v>
      </c>
      <c r="AP35" s="5">
        <f t="shared" si="7"/>
        <v>0</v>
      </c>
      <c r="AR35" s="184">
        <f t="shared" si="9"/>
        <v>2</v>
      </c>
      <c r="AS35" s="184">
        <f t="shared" si="10"/>
        <v>2</v>
      </c>
      <c r="AT35" s="184">
        <f t="shared" si="11"/>
        <v>2</v>
      </c>
      <c r="AU35" s="184" t="e">
        <f t="shared" si="12"/>
        <v>#VALUE!</v>
      </c>
      <c r="AV35" s="184" t="e">
        <f t="shared" si="13"/>
        <v>#VALUE!</v>
      </c>
      <c r="AW35" s="184">
        <f t="shared" si="14"/>
        <v>2</v>
      </c>
      <c r="AX35" s="184" t="e">
        <f t="shared" si="15"/>
        <v>#VALUE!</v>
      </c>
      <c r="AY35" s="184">
        <f t="shared" si="16"/>
        <v>2</v>
      </c>
      <c r="AZ35" s="184" t="e">
        <f t="shared" si="17"/>
        <v>#VALUE!</v>
      </c>
      <c r="BA35" s="184">
        <f t="shared" si="18"/>
        <v>2</v>
      </c>
      <c r="BB35" s="184" t="e">
        <f t="shared" si="19"/>
        <v>#VALUE!</v>
      </c>
      <c r="BC35" s="184">
        <f t="shared" si="20"/>
        <v>1</v>
      </c>
      <c r="BD35" s="184">
        <f t="shared" si="21"/>
        <v>1</v>
      </c>
      <c r="BE35" s="184">
        <f t="shared" si="22"/>
        <v>2</v>
      </c>
      <c r="BF35" s="184" t="e">
        <f t="shared" si="23"/>
        <v>#VALUE!</v>
      </c>
      <c r="BG35" s="184" t="e">
        <f t="shared" si="24"/>
        <v>#VALUE!</v>
      </c>
      <c r="BH35" s="184">
        <f t="shared" si="25"/>
        <v>2</v>
      </c>
      <c r="BI35" s="184">
        <f t="shared" si="26"/>
        <v>2</v>
      </c>
      <c r="BJ35" s="184">
        <f t="shared" si="27"/>
        <v>1</v>
      </c>
      <c r="BK35" s="184" t="e">
        <f t="shared" si="28"/>
        <v>#VALUE!</v>
      </c>
      <c r="BL35" s="184" t="e">
        <f t="shared" si="29"/>
        <v>#VALUE!</v>
      </c>
      <c r="BM35" s="184" t="e">
        <f t="shared" si="30"/>
        <v>#VALUE!</v>
      </c>
      <c r="BN35" s="184">
        <f t="shared" si="31"/>
        <v>1</v>
      </c>
      <c r="BO35" s="184" t="e">
        <f t="shared" si="32"/>
        <v>#VALUE!</v>
      </c>
      <c r="BP35" s="184">
        <f t="shared" si="33"/>
        <v>2</v>
      </c>
      <c r="BQ35" s="184">
        <f t="shared" si="34"/>
        <v>1</v>
      </c>
    </row>
    <row r="36" spans="1:69" ht="78.75" x14ac:dyDescent="0.25">
      <c r="A36" s="154" t="s">
        <v>55</v>
      </c>
      <c r="B36" s="139" t="s">
        <v>56</v>
      </c>
      <c r="C36" s="139" t="s">
        <v>37</v>
      </c>
      <c r="D36" s="58" t="s">
        <v>53</v>
      </c>
      <c r="E36" s="122">
        <v>3844</v>
      </c>
      <c r="F36" s="80">
        <f t="shared" ref="F36:F37" si="36">SUM(G36,M36,Q36,R36,S36,T36,V36,W36,X36,AD36,P36,U36)</f>
        <v>2531.4499999999998</v>
      </c>
      <c r="G36" s="80">
        <f t="shared" ref="G36:G37" si="37">SUM(H36:L36)</f>
        <v>1230.3600000000001</v>
      </c>
      <c r="H36" s="3">
        <v>944.98</v>
      </c>
      <c r="I36" s="84">
        <v>0</v>
      </c>
      <c r="J36" s="3">
        <v>0</v>
      </c>
      <c r="K36" s="20">
        <f t="shared" si="3"/>
        <v>285.38</v>
      </c>
      <c r="L36" s="3"/>
      <c r="M36" s="84">
        <v>160.78</v>
      </c>
      <c r="N36" s="84">
        <v>0</v>
      </c>
      <c r="O36" s="84">
        <v>45.22</v>
      </c>
      <c r="P36" s="84">
        <v>0</v>
      </c>
      <c r="Q36" s="84">
        <v>69.98</v>
      </c>
      <c r="R36" s="3">
        <v>16.579999999999998</v>
      </c>
      <c r="S36" s="84">
        <v>83.6</v>
      </c>
      <c r="T36" s="3">
        <v>16.809999999999999</v>
      </c>
      <c r="U36" s="3">
        <v>0</v>
      </c>
      <c r="V36" s="84">
        <v>17.8</v>
      </c>
      <c r="W36" s="3">
        <v>0</v>
      </c>
      <c r="X36" s="20">
        <f t="shared" si="4"/>
        <v>893.24</v>
      </c>
      <c r="Y36" s="85">
        <v>686.05</v>
      </c>
      <c r="Z36" s="84">
        <v>0</v>
      </c>
      <c r="AA36" s="3">
        <v>0</v>
      </c>
      <c r="AB36" s="20">
        <f t="shared" si="5"/>
        <v>207.19</v>
      </c>
      <c r="AC36" s="84">
        <v>0</v>
      </c>
      <c r="AD36" s="168">
        <f>71.41-29.11</f>
        <v>42.3</v>
      </c>
      <c r="AE36" s="20">
        <f t="shared" si="6"/>
        <v>9730.9</v>
      </c>
      <c r="AF36" s="173">
        <v>264.39999999999998</v>
      </c>
      <c r="AG36" s="3">
        <f>AF36+AE36+AE37</f>
        <v>10217.799999999999</v>
      </c>
      <c r="AH36" s="3">
        <v>10217.799999999999</v>
      </c>
      <c r="AI36" s="5">
        <f>AH36-AG36</f>
        <v>0</v>
      </c>
      <c r="AJ36">
        <f>AI36*1000/E36</f>
        <v>0</v>
      </c>
      <c r="AK36" s="171">
        <v>10217.700000000001</v>
      </c>
      <c r="AL36" s="5">
        <f>AK36-AG36</f>
        <v>-9.9999999998544808E-2</v>
      </c>
      <c r="AM36" s="55"/>
      <c r="AN36" s="55"/>
      <c r="AO36" s="5">
        <v>2560.5720708648191</v>
      </c>
      <c r="AP36" s="5">
        <f t="shared" si="7"/>
        <v>29.122070864819307</v>
      </c>
      <c r="AR36" s="184">
        <f t="shared" si="9"/>
        <v>2</v>
      </c>
      <c r="AS36" s="184">
        <f t="shared" si="10"/>
        <v>2</v>
      </c>
      <c r="AT36" s="184">
        <f t="shared" si="11"/>
        <v>2</v>
      </c>
      <c r="AU36" s="184" t="e">
        <f t="shared" si="12"/>
        <v>#VALUE!</v>
      </c>
      <c r="AV36" s="184" t="e">
        <f t="shared" si="13"/>
        <v>#VALUE!</v>
      </c>
      <c r="AW36" s="184">
        <f t="shared" si="14"/>
        <v>2</v>
      </c>
      <c r="AX36" s="184" t="e">
        <f t="shared" si="15"/>
        <v>#VALUE!</v>
      </c>
      <c r="AY36" s="184">
        <f t="shared" si="16"/>
        <v>2</v>
      </c>
      <c r="AZ36" s="184" t="e">
        <f t="shared" si="17"/>
        <v>#VALUE!</v>
      </c>
      <c r="BA36" s="184">
        <f t="shared" si="18"/>
        <v>2</v>
      </c>
      <c r="BB36" s="184" t="e">
        <f t="shared" si="19"/>
        <v>#VALUE!</v>
      </c>
      <c r="BC36" s="184">
        <f t="shared" si="20"/>
        <v>2</v>
      </c>
      <c r="BD36" s="184">
        <f t="shared" si="21"/>
        <v>2</v>
      </c>
      <c r="BE36" s="184">
        <f t="shared" si="22"/>
        <v>1</v>
      </c>
      <c r="BF36" s="184">
        <f t="shared" si="23"/>
        <v>2</v>
      </c>
      <c r="BG36" s="184" t="e">
        <f t="shared" si="24"/>
        <v>#VALUE!</v>
      </c>
      <c r="BH36" s="184">
        <f t="shared" si="25"/>
        <v>1</v>
      </c>
      <c r="BI36" s="184" t="e">
        <f t="shared" si="26"/>
        <v>#VALUE!</v>
      </c>
      <c r="BJ36" s="184">
        <f t="shared" si="27"/>
        <v>2</v>
      </c>
      <c r="BK36" s="184">
        <f t="shared" si="28"/>
        <v>2</v>
      </c>
      <c r="BL36" s="184" t="e">
        <f t="shared" si="29"/>
        <v>#VALUE!</v>
      </c>
      <c r="BM36" s="184" t="e">
        <f t="shared" si="30"/>
        <v>#VALUE!</v>
      </c>
      <c r="BN36" s="184">
        <f t="shared" si="31"/>
        <v>2</v>
      </c>
      <c r="BO36" s="184" t="e">
        <f t="shared" si="32"/>
        <v>#VALUE!</v>
      </c>
      <c r="BP36" s="184">
        <f t="shared" si="33"/>
        <v>1</v>
      </c>
      <c r="BQ36" s="184">
        <f t="shared" si="34"/>
        <v>1</v>
      </c>
    </row>
    <row r="37" spans="1:69" ht="63" x14ac:dyDescent="0.25">
      <c r="A37" s="154" t="s">
        <v>55</v>
      </c>
      <c r="B37" s="145" t="s">
        <v>57</v>
      </c>
      <c r="C37" s="139" t="s">
        <v>40</v>
      </c>
      <c r="D37" s="58" t="s">
        <v>45</v>
      </c>
      <c r="E37" s="122">
        <v>12</v>
      </c>
      <c r="F37" s="80">
        <f t="shared" si="36"/>
        <v>18544.669999999998</v>
      </c>
      <c r="G37" s="80">
        <f t="shared" si="37"/>
        <v>11718</v>
      </c>
      <c r="H37" s="3">
        <v>9000</v>
      </c>
      <c r="I37" s="84">
        <v>0</v>
      </c>
      <c r="J37" s="3">
        <v>0</v>
      </c>
      <c r="K37" s="20">
        <f t="shared" si="3"/>
        <v>2718</v>
      </c>
      <c r="L37" s="3"/>
      <c r="M37" s="84">
        <v>345.61</v>
      </c>
      <c r="N37" s="84">
        <v>0</v>
      </c>
      <c r="O37" s="84">
        <v>126.44</v>
      </c>
      <c r="P37" s="84">
        <v>0</v>
      </c>
      <c r="Q37" s="84">
        <v>116.67</v>
      </c>
      <c r="R37" s="3">
        <v>78.14</v>
      </c>
      <c r="S37" s="84">
        <v>45.08</v>
      </c>
      <c r="T37" s="3">
        <v>0</v>
      </c>
      <c r="U37" s="3">
        <v>0</v>
      </c>
      <c r="V37" s="84">
        <v>60</v>
      </c>
      <c r="W37" s="3">
        <v>0</v>
      </c>
      <c r="X37" s="20">
        <f t="shared" si="4"/>
        <v>5839.5</v>
      </c>
      <c r="Y37" s="85">
        <v>4485.0200000000004</v>
      </c>
      <c r="Z37" s="84">
        <v>0</v>
      </c>
      <c r="AA37" s="3">
        <v>0</v>
      </c>
      <c r="AB37" s="20">
        <f t="shared" si="5"/>
        <v>1354.48</v>
      </c>
      <c r="AC37" s="84">
        <v>0</v>
      </c>
      <c r="AD37" s="84">
        <v>341.67</v>
      </c>
      <c r="AE37" s="20">
        <f t="shared" si="6"/>
        <v>222.5</v>
      </c>
      <c r="AF37" s="84">
        <v>0</v>
      </c>
      <c r="AG37" s="3"/>
      <c r="AH37" s="3"/>
      <c r="AI37" s="3"/>
      <c r="AJ37" s="3"/>
      <c r="AK37" s="171"/>
      <c r="AL37" s="5"/>
      <c r="AM37" s="55"/>
      <c r="AN37" s="55"/>
      <c r="AO37" s="5">
        <v>18544.659266203333</v>
      </c>
      <c r="AP37" s="5">
        <f t="shared" si="7"/>
        <v>-1.0733796665590489E-2</v>
      </c>
      <c r="AR37" s="184">
        <f t="shared" si="9"/>
        <v>2</v>
      </c>
      <c r="AS37" s="184" t="e">
        <f t="shared" si="10"/>
        <v>#VALUE!</v>
      </c>
      <c r="AT37" s="184" t="e">
        <f t="shared" si="11"/>
        <v>#VALUE!</v>
      </c>
      <c r="AU37" s="184" t="e">
        <f t="shared" si="12"/>
        <v>#VALUE!</v>
      </c>
      <c r="AV37" s="184" t="e">
        <f t="shared" si="13"/>
        <v>#VALUE!</v>
      </c>
      <c r="AW37" s="184" t="e">
        <f t="shared" si="14"/>
        <v>#VALUE!</v>
      </c>
      <c r="AX37" s="184" t="e">
        <f t="shared" si="15"/>
        <v>#VALUE!</v>
      </c>
      <c r="AY37" s="184">
        <f t="shared" si="16"/>
        <v>2</v>
      </c>
      <c r="AZ37" s="184" t="e">
        <f t="shared" si="17"/>
        <v>#VALUE!</v>
      </c>
      <c r="BA37" s="184">
        <f t="shared" si="18"/>
        <v>2</v>
      </c>
      <c r="BB37" s="184" t="e">
        <f t="shared" si="19"/>
        <v>#VALUE!</v>
      </c>
      <c r="BC37" s="184">
        <f t="shared" si="20"/>
        <v>2</v>
      </c>
      <c r="BD37" s="184">
        <f t="shared" si="21"/>
        <v>2</v>
      </c>
      <c r="BE37" s="184">
        <f t="shared" si="22"/>
        <v>2</v>
      </c>
      <c r="BF37" s="184" t="e">
        <f t="shared" si="23"/>
        <v>#VALUE!</v>
      </c>
      <c r="BG37" s="184" t="e">
        <f t="shared" si="24"/>
        <v>#VALUE!</v>
      </c>
      <c r="BH37" s="184" t="e">
        <f t="shared" si="25"/>
        <v>#VALUE!</v>
      </c>
      <c r="BI37" s="184" t="e">
        <f t="shared" si="26"/>
        <v>#VALUE!</v>
      </c>
      <c r="BJ37" s="184">
        <f t="shared" si="27"/>
        <v>1</v>
      </c>
      <c r="BK37" s="184">
        <f t="shared" si="28"/>
        <v>2</v>
      </c>
      <c r="BL37" s="184" t="e">
        <f t="shared" si="29"/>
        <v>#VALUE!</v>
      </c>
      <c r="BM37" s="184" t="e">
        <f t="shared" si="30"/>
        <v>#VALUE!</v>
      </c>
      <c r="BN37" s="184">
        <f t="shared" si="31"/>
        <v>2</v>
      </c>
      <c r="BO37" s="184" t="e">
        <f t="shared" si="32"/>
        <v>#VALUE!</v>
      </c>
      <c r="BP37" s="184">
        <f t="shared" si="33"/>
        <v>2</v>
      </c>
      <c r="BQ37" s="184">
        <f t="shared" si="34"/>
        <v>1</v>
      </c>
    </row>
    <row r="38" spans="1:69" ht="63" x14ac:dyDescent="0.25">
      <c r="A38" s="154" t="s">
        <v>58</v>
      </c>
      <c r="B38" s="146" t="s">
        <v>39</v>
      </c>
      <c r="C38" s="146" t="s">
        <v>40</v>
      </c>
      <c r="D38" s="59" t="s">
        <v>45</v>
      </c>
      <c r="E38" s="122">
        <v>30</v>
      </c>
      <c r="F38" s="80">
        <f t="shared" si="1"/>
        <v>97457.72</v>
      </c>
      <c r="G38" s="80">
        <f t="shared" si="2"/>
        <v>48851.040000000001</v>
      </c>
      <c r="H38" s="3">
        <v>37520</v>
      </c>
      <c r="I38" s="84">
        <v>0</v>
      </c>
      <c r="J38" s="3">
        <v>0</v>
      </c>
      <c r="K38" s="20">
        <f t="shared" si="3"/>
        <v>11331.04</v>
      </c>
      <c r="L38" s="3"/>
      <c r="M38" s="84">
        <v>4566.67</v>
      </c>
      <c r="N38" s="84">
        <v>2666.67</v>
      </c>
      <c r="O38" s="84">
        <v>1083.33</v>
      </c>
      <c r="P38" s="84">
        <v>0</v>
      </c>
      <c r="Q38" s="84">
        <v>1066.67</v>
      </c>
      <c r="R38" s="3">
        <v>9902.85</v>
      </c>
      <c r="S38" s="84">
        <v>2458.33</v>
      </c>
      <c r="T38" s="3">
        <v>1533.33</v>
      </c>
      <c r="U38" s="3">
        <v>0</v>
      </c>
      <c r="V38" s="84">
        <v>3620</v>
      </c>
      <c r="W38" s="3">
        <v>0</v>
      </c>
      <c r="X38" s="20">
        <f t="shared" si="4"/>
        <v>22915.200000000001</v>
      </c>
      <c r="Y38" s="85">
        <v>17600</v>
      </c>
      <c r="Z38" s="84">
        <v>0</v>
      </c>
      <c r="AA38" s="3">
        <v>0</v>
      </c>
      <c r="AB38" s="20">
        <f t="shared" si="5"/>
        <v>5315.2</v>
      </c>
      <c r="AC38" s="84">
        <v>0</v>
      </c>
      <c r="AD38" s="168">
        <f>2626.96-83.33</f>
        <v>2543.63</v>
      </c>
      <c r="AE38" s="20">
        <f t="shared" si="6"/>
        <v>2923.7</v>
      </c>
      <c r="AF38" s="173">
        <v>166.9</v>
      </c>
      <c r="AG38" s="3">
        <f>AE38+AF38</f>
        <v>3090.6</v>
      </c>
      <c r="AH38" s="3">
        <v>3090.6</v>
      </c>
      <c r="AI38" s="5">
        <f>AH38-AG38</f>
        <v>0</v>
      </c>
      <c r="AJ38">
        <f t="shared" ref="AJ38:AJ40" si="38">AI38*1000/E38</f>
        <v>0</v>
      </c>
      <c r="AK38" s="171">
        <v>3090.6</v>
      </c>
      <c r="AL38" s="5">
        <f>AK38-AG38</f>
        <v>0</v>
      </c>
      <c r="AM38" s="55"/>
      <c r="AN38" s="55"/>
      <c r="AO38" s="5">
        <v>97541.046666666647</v>
      </c>
      <c r="AP38" s="5">
        <f t="shared" si="7"/>
        <v>83.326666666645906</v>
      </c>
      <c r="AR38" s="184">
        <f t="shared" si="9"/>
        <v>2</v>
      </c>
      <c r="AS38" s="184">
        <f t="shared" si="10"/>
        <v>2</v>
      </c>
      <c r="AT38" s="184" t="e">
        <f t="shared" si="11"/>
        <v>#VALUE!</v>
      </c>
      <c r="AU38" s="184" t="e">
        <f t="shared" si="12"/>
        <v>#VALUE!</v>
      </c>
      <c r="AV38" s="184" t="e">
        <f t="shared" si="13"/>
        <v>#VALUE!</v>
      </c>
      <c r="AW38" s="184">
        <f t="shared" si="14"/>
        <v>2</v>
      </c>
      <c r="AX38" s="184" t="e">
        <f t="shared" si="15"/>
        <v>#VALUE!</v>
      </c>
      <c r="AY38" s="184">
        <f t="shared" si="16"/>
        <v>2</v>
      </c>
      <c r="AZ38" s="184">
        <f t="shared" si="17"/>
        <v>2</v>
      </c>
      <c r="BA38" s="184">
        <f t="shared" si="18"/>
        <v>2</v>
      </c>
      <c r="BB38" s="184" t="e">
        <f t="shared" si="19"/>
        <v>#VALUE!</v>
      </c>
      <c r="BC38" s="184">
        <f t="shared" si="20"/>
        <v>2</v>
      </c>
      <c r="BD38" s="184">
        <f t="shared" si="21"/>
        <v>2</v>
      </c>
      <c r="BE38" s="184">
        <f t="shared" si="22"/>
        <v>2</v>
      </c>
      <c r="BF38" s="184">
        <f t="shared" si="23"/>
        <v>2</v>
      </c>
      <c r="BG38" s="184" t="e">
        <f t="shared" si="24"/>
        <v>#VALUE!</v>
      </c>
      <c r="BH38" s="184" t="e">
        <f t="shared" si="25"/>
        <v>#VALUE!</v>
      </c>
      <c r="BI38" s="184" t="e">
        <f t="shared" si="26"/>
        <v>#VALUE!</v>
      </c>
      <c r="BJ38" s="184">
        <f t="shared" si="27"/>
        <v>1</v>
      </c>
      <c r="BK38" s="184" t="e">
        <f t="shared" si="28"/>
        <v>#VALUE!</v>
      </c>
      <c r="BL38" s="184" t="e">
        <f t="shared" si="29"/>
        <v>#VALUE!</v>
      </c>
      <c r="BM38" s="184" t="e">
        <f t="shared" si="30"/>
        <v>#VALUE!</v>
      </c>
      <c r="BN38" s="184">
        <f t="shared" si="31"/>
        <v>1</v>
      </c>
      <c r="BO38" s="184" t="e">
        <f t="shared" si="32"/>
        <v>#VALUE!</v>
      </c>
      <c r="BP38" s="184">
        <f t="shared" si="33"/>
        <v>2</v>
      </c>
      <c r="BQ38" s="184">
        <f t="shared" si="34"/>
        <v>1</v>
      </c>
    </row>
    <row r="39" spans="1:69" ht="63" x14ac:dyDescent="0.25">
      <c r="A39" s="154" t="s">
        <v>59</v>
      </c>
      <c r="B39" s="139" t="s">
        <v>39</v>
      </c>
      <c r="C39" s="139" t="s">
        <v>40</v>
      </c>
      <c r="D39" s="139" t="s">
        <v>45</v>
      </c>
      <c r="E39" s="122">
        <v>13</v>
      </c>
      <c r="F39" s="80">
        <f t="shared" si="1"/>
        <v>104728.45999999999</v>
      </c>
      <c r="G39" s="80">
        <f t="shared" si="2"/>
        <v>27642.46</v>
      </c>
      <c r="H39" s="3">
        <v>21230.77</v>
      </c>
      <c r="I39" s="84">
        <v>0</v>
      </c>
      <c r="J39" s="3">
        <v>0</v>
      </c>
      <c r="K39" s="20">
        <f t="shared" si="3"/>
        <v>6411.69</v>
      </c>
      <c r="L39" s="3"/>
      <c r="M39" s="84">
        <v>512.52</v>
      </c>
      <c r="N39" s="84">
        <v>0</v>
      </c>
      <c r="O39" s="84">
        <v>407.69</v>
      </c>
      <c r="P39" s="84">
        <v>0</v>
      </c>
      <c r="Q39" s="84">
        <v>0</v>
      </c>
      <c r="R39" s="3">
        <v>11019.39</v>
      </c>
      <c r="S39" s="168">
        <f>64623.9-6953.85</f>
        <v>57670.05</v>
      </c>
      <c r="T39" s="3">
        <v>0</v>
      </c>
      <c r="U39" s="3">
        <v>0</v>
      </c>
      <c r="V39" s="84">
        <v>1153.7</v>
      </c>
      <c r="W39" s="3">
        <v>0</v>
      </c>
      <c r="X39" s="20">
        <f t="shared" si="4"/>
        <v>6730.3399999999992</v>
      </c>
      <c r="Y39" s="85">
        <v>5169.2299999999996</v>
      </c>
      <c r="Z39" s="84">
        <v>0</v>
      </c>
      <c r="AA39" s="3">
        <v>0</v>
      </c>
      <c r="AB39" s="20">
        <f t="shared" si="5"/>
        <v>1561.11</v>
      </c>
      <c r="AC39" s="84">
        <v>0</v>
      </c>
      <c r="AD39" s="84">
        <v>0</v>
      </c>
      <c r="AE39" s="20">
        <f>ROUND(E39*F39/1000,1)</f>
        <v>1361.5</v>
      </c>
      <c r="AF39" s="173">
        <v>167.1</v>
      </c>
      <c r="AG39" s="155">
        <f>AE39+AF39</f>
        <v>1528.6</v>
      </c>
      <c r="AH39" s="155">
        <v>1528.6</v>
      </c>
      <c r="AI39" s="5">
        <f>AH39-AG39</f>
        <v>0</v>
      </c>
      <c r="AJ39">
        <f t="shared" si="38"/>
        <v>0</v>
      </c>
      <c r="AK39" s="171">
        <v>1528.6</v>
      </c>
      <c r="AL39" s="5">
        <f>AK39-AG39</f>
        <v>0</v>
      </c>
      <c r="AM39" s="55"/>
      <c r="AN39" s="55"/>
      <c r="AO39" s="5">
        <v>111682.30999999998</v>
      </c>
      <c r="AP39" s="5">
        <f t="shared" si="7"/>
        <v>6953.8499999999913</v>
      </c>
      <c r="AR39" s="184">
        <f t="shared" si="9"/>
        <v>2</v>
      </c>
      <c r="AS39" s="184">
        <f t="shared" si="10"/>
        <v>2</v>
      </c>
      <c r="AT39" s="184">
        <f t="shared" si="11"/>
        <v>2</v>
      </c>
      <c r="AU39" s="184" t="e">
        <f t="shared" si="12"/>
        <v>#VALUE!</v>
      </c>
      <c r="AV39" s="184" t="e">
        <f t="shared" si="13"/>
        <v>#VALUE!</v>
      </c>
      <c r="AW39" s="184">
        <f t="shared" si="14"/>
        <v>2</v>
      </c>
      <c r="AX39" s="184" t="e">
        <f t="shared" si="15"/>
        <v>#VALUE!</v>
      </c>
      <c r="AY39" s="184">
        <f t="shared" si="16"/>
        <v>2</v>
      </c>
      <c r="AZ39" s="184" t="e">
        <f t="shared" si="17"/>
        <v>#VALUE!</v>
      </c>
      <c r="BA39" s="184">
        <f t="shared" si="18"/>
        <v>2</v>
      </c>
      <c r="BB39" s="184" t="e">
        <f t="shared" si="19"/>
        <v>#VALUE!</v>
      </c>
      <c r="BC39" s="184" t="e">
        <f t="shared" si="20"/>
        <v>#VALUE!</v>
      </c>
      <c r="BD39" s="184">
        <f t="shared" si="21"/>
        <v>2</v>
      </c>
      <c r="BE39" s="184">
        <f t="shared" si="22"/>
        <v>2</v>
      </c>
      <c r="BF39" s="184" t="e">
        <f t="shared" si="23"/>
        <v>#VALUE!</v>
      </c>
      <c r="BG39" s="184" t="e">
        <f t="shared" si="24"/>
        <v>#VALUE!</v>
      </c>
      <c r="BH39" s="184">
        <f t="shared" si="25"/>
        <v>1</v>
      </c>
      <c r="BI39" s="184" t="e">
        <f t="shared" si="26"/>
        <v>#VALUE!</v>
      </c>
      <c r="BJ39" s="184">
        <f t="shared" si="27"/>
        <v>2</v>
      </c>
      <c r="BK39" s="184">
        <f t="shared" si="28"/>
        <v>2</v>
      </c>
      <c r="BL39" s="184" t="e">
        <f t="shared" si="29"/>
        <v>#VALUE!</v>
      </c>
      <c r="BM39" s="184" t="e">
        <f t="shared" si="30"/>
        <v>#VALUE!</v>
      </c>
      <c r="BN39" s="184">
        <f t="shared" si="31"/>
        <v>2</v>
      </c>
      <c r="BO39" s="184" t="e">
        <f t="shared" si="32"/>
        <v>#VALUE!</v>
      </c>
      <c r="BP39" s="184" t="e">
        <f t="shared" si="33"/>
        <v>#VALUE!</v>
      </c>
      <c r="BQ39" s="184">
        <f t="shared" si="34"/>
        <v>1</v>
      </c>
    </row>
    <row r="40" spans="1:69" ht="63" x14ac:dyDescent="0.25">
      <c r="A40" s="259" t="s">
        <v>60</v>
      </c>
      <c r="B40" s="141" t="s">
        <v>61</v>
      </c>
      <c r="C40" s="141" t="s">
        <v>62</v>
      </c>
      <c r="D40" s="141" t="s">
        <v>45</v>
      </c>
      <c r="E40" s="122">
        <v>496</v>
      </c>
      <c r="F40" s="80">
        <f t="shared" si="1"/>
        <v>17070.98</v>
      </c>
      <c r="G40" s="80">
        <f t="shared" si="2"/>
        <v>7326.24</v>
      </c>
      <c r="H40" s="3">
        <v>5626.91</v>
      </c>
      <c r="I40" s="84">
        <v>0</v>
      </c>
      <c r="J40" s="3">
        <v>0</v>
      </c>
      <c r="K40" s="20">
        <f t="shared" si="3"/>
        <v>1699.33</v>
      </c>
      <c r="L40" s="3"/>
      <c r="M40" s="84">
        <v>868.95</v>
      </c>
      <c r="N40" s="84">
        <v>0</v>
      </c>
      <c r="O40" s="84">
        <v>0</v>
      </c>
      <c r="P40" s="84">
        <v>0</v>
      </c>
      <c r="Q40" s="84">
        <v>276.68</v>
      </c>
      <c r="R40" s="3">
        <v>1044.21</v>
      </c>
      <c r="S40" s="84">
        <v>1127.02</v>
      </c>
      <c r="T40" s="3">
        <v>113.91</v>
      </c>
      <c r="U40" s="3">
        <v>0</v>
      </c>
      <c r="V40" s="84">
        <v>26.24</v>
      </c>
      <c r="W40" s="3">
        <v>1.21</v>
      </c>
      <c r="X40" s="20">
        <f t="shared" si="4"/>
        <v>5512.5</v>
      </c>
      <c r="Y40" s="85">
        <v>4233.87</v>
      </c>
      <c r="Z40" s="84">
        <v>0</v>
      </c>
      <c r="AA40" s="3">
        <v>0</v>
      </c>
      <c r="AB40" s="20">
        <f t="shared" si="5"/>
        <v>1278.6300000000001</v>
      </c>
      <c r="AC40" s="84">
        <v>0</v>
      </c>
      <c r="AD40" s="168">
        <f>813.54-39.52</f>
        <v>774.02</v>
      </c>
      <c r="AE40" s="20">
        <f t="shared" si="6"/>
        <v>8467.2000000000007</v>
      </c>
      <c r="AF40" s="173">
        <v>19.600000000000001</v>
      </c>
      <c r="AG40" s="3">
        <f>AE40+AE41+AE42+AE43+AF40</f>
        <v>19319.399999999998</v>
      </c>
      <c r="AH40" s="3">
        <v>19319.400000000001</v>
      </c>
      <c r="AI40" s="5">
        <f>AH40-AG40</f>
        <v>0</v>
      </c>
      <c r="AJ40">
        <f t="shared" si="38"/>
        <v>0</v>
      </c>
      <c r="AK40" s="171">
        <v>19319.375500000002</v>
      </c>
      <c r="AL40" s="5">
        <f>AK40-AG40</f>
        <v>-2.449999999589636E-2</v>
      </c>
      <c r="AM40" s="55"/>
      <c r="AN40" s="55"/>
      <c r="AO40" s="5">
        <v>17110.5</v>
      </c>
      <c r="AP40" s="5">
        <f t="shared" si="7"/>
        <v>39.520000000000437</v>
      </c>
      <c r="AR40" s="184">
        <f t="shared" si="9"/>
        <v>2</v>
      </c>
      <c r="AS40" s="184">
        <f t="shared" si="10"/>
        <v>2</v>
      </c>
      <c r="AT40" s="184">
        <f t="shared" si="11"/>
        <v>2</v>
      </c>
      <c r="AU40" s="184" t="e">
        <f t="shared" si="12"/>
        <v>#VALUE!</v>
      </c>
      <c r="AV40" s="184" t="e">
        <f t="shared" si="13"/>
        <v>#VALUE!</v>
      </c>
      <c r="AW40" s="184">
        <f t="shared" si="14"/>
        <v>2</v>
      </c>
      <c r="AX40" s="184" t="e">
        <f t="shared" si="15"/>
        <v>#VALUE!</v>
      </c>
      <c r="AY40" s="184">
        <f t="shared" si="16"/>
        <v>2</v>
      </c>
      <c r="AZ40" s="184" t="e">
        <f t="shared" si="17"/>
        <v>#VALUE!</v>
      </c>
      <c r="BA40" s="184" t="e">
        <f t="shared" si="18"/>
        <v>#VALUE!</v>
      </c>
      <c r="BB40" s="184" t="e">
        <f t="shared" si="19"/>
        <v>#VALUE!</v>
      </c>
      <c r="BC40" s="184">
        <f t="shared" si="20"/>
        <v>2</v>
      </c>
      <c r="BD40" s="184">
        <f t="shared" si="21"/>
        <v>2</v>
      </c>
      <c r="BE40" s="184">
        <f t="shared" si="22"/>
        <v>2</v>
      </c>
      <c r="BF40" s="184">
        <f t="shared" si="23"/>
        <v>2</v>
      </c>
      <c r="BG40" s="184" t="e">
        <f t="shared" si="24"/>
        <v>#VALUE!</v>
      </c>
      <c r="BH40" s="184">
        <f t="shared" si="25"/>
        <v>2</v>
      </c>
      <c r="BI40" s="184">
        <f t="shared" si="26"/>
        <v>2</v>
      </c>
      <c r="BJ40" s="184">
        <f t="shared" si="27"/>
        <v>1</v>
      </c>
      <c r="BK40" s="184">
        <f t="shared" si="28"/>
        <v>2</v>
      </c>
      <c r="BL40" s="184" t="e">
        <f t="shared" si="29"/>
        <v>#VALUE!</v>
      </c>
      <c r="BM40" s="184" t="e">
        <f t="shared" si="30"/>
        <v>#VALUE!</v>
      </c>
      <c r="BN40" s="184">
        <f t="shared" si="31"/>
        <v>2</v>
      </c>
      <c r="BO40" s="184" t="e">
        <f t="shared" si="32"/>
        <v>#VALUE!</v>
      </c>
      <c r="BP40" s="184">
        <f t="shared" si="33"/>
        <v>2</v>
      </c>
      <c r="BQ40" s="184">
        <f t="shared" si="34"/>
        <v>1</v>
      </c>
    </row>
    <row r="41" spans="1:69" ht="120" x14ac:dyDescent="0.25">
      <c r="A41" s="260"/>
      <c r="B41" s="147" t="s">
        <v>82</v>
      </c>
      <c r="C41" s="148" t="s">
        <v>64</v>
      </c>
      <c r="D41" s="149" t="s">
        <v>65</v>
      </c>
      <c r="E41" s="122">
        <v>3304</v>
      </c>
      <c r="F41" s="80">
        <f t="shared" si="1"/>
        <v>2288.25</v>
      </c>
      <c r="G41" s="80">
        <f t="shared" si="2"/>
        <v>1173.3800000000001</v>
      </c>
      <c r="H41" s="3">
        <v>901.21</v>
      </c>
      <c r="I41" s="84">
        <v>0</v>
      </c>
      <c r="J41" s="3">
        <v>0</v>
      </c>
      <c r="K41" s="20">
        <f t="shared" si="3"/>
        <v>272.17</v>
      </c>
      <c r="L41" s="3"/>
      <c r="M41" s="84">
        <v>48.85</v>
      </c>
      <c r="N41" s="84">
        <v>0</v>
      </c>
      <c r="O41" s="84">
        <v>14.63</v>
      </c>
      <c r="P41" s="84">
        <v>0</v>
      </c>
      <c r="Q41" s="84">
        <v>0</v>
      </c>
      <c r="R41" s="3">
        <v>11.54</v>
      </c>
      <c r="S41" s="84">
        <v>27.22</v>
      </c>
      <c r="T41" s="3">
        <v>56.72</v>
      </c>
      <c r="U41" s="3">
        <v>0</v>
      </c>
      <c r="V41" s="84">
        <v>40.5</v>
      </c>
      <c r="W41" s="3">
        <v>27.56</v>
      </c>
      <c r="X41" s="20">
        <f t="shared" si="4"/>
        <v>535.55999999999995</v>
      </c>
      <c r="Y41" s="85">
        <v>411.34</v>
      </c>
      <c r="Z41" s="84">
        <v>0</v>
      </c>
      <c r="AA41" s="3">
        <v>0</v>
      </c>
      <c r="AB41" s="20">
        <f t="shared" si="5"/>
        <v>124.22</v>
      </c>
      <c r="AC41" s="84">
        <v>0</v>
      </c>
      <c r="AD41" s="84">
        <v>366.92</v>
      </c>
      <c r="AE41" s="20">
        <f t="shared" si="6"/>
        <v>7560.4</v>
      </c>
      <c r="AF41" s="84">
        <v>0</v>
      </c>
      <c r="AG41" s="3"/>
      <c r="AH41" s="3"/>
      <c r="AI41" s="3"/>
      <c r="AJ41" s="3"/>
      <c r="AK41" s="171"/>
      <c r="AL41" s="5"/>
      <c r="AM41" s="55"/>
      <c r="AN41" s="55"/>
      <c r="AO41" s="5">
        <v>2288.25</v>
      </c>
      <c r="AP41" s="5">
        <f t="shared" si="7"/>
        <v>0</v>
      </c>
      <c r="AR41" s="184">
        <f t="shared" si="9"/>
        <v>2</v>
      </c>
      <c r="AS41" s="184">
        <f t="shared" si="10"/>
        <v>2</v>
      </c>
      <c r="AT41" s="184">
        <f t="shared" si="11"/>
        <v>2</v>
      </c>
      <c r="AU41" s="184" t="e">
        <f t="shared" si="12"/>
        <v>#VALUE!</v>
      </c>
      <c r="AV41" s="184" t="e">
        <f t="shared" si="13"/>
        <v>#VALUE!</v>
      </c>
      <c r="AW41" s="184">
        <f t="shared" si="14"/>
        <v>2</v>
      </c>
      <c r="AX41" s="184" t="e">
        <f t="shared" si="15"/>
        <v>#VALUE!</v>
      </c>
      <c r="AY41" s="184">
        <f t="shared" si="16"/>
        <v>2</v>
      </c>
      <c r="AZ41" s="184" t="e">
        <f t="shared" si="17"/>
        <v>#VALUE!</v>
      </c>
      <c r="BA41" s="184">
        <f t="shared" si="18"/>
        <v>2</v>
      </c>
      <c r="BB41" s="184" t="e">
        <f t="shared" si="19"/>
        <v>#VALUE!</v>
      </c>
      <c r="BC41" s="184" t="e">
        <f t="shared" si="20"/>
        <v>#VALUE!</v>
      </c>
      <c r="BD41" s="184">
        <f t="shared" si="21"/>
        <v>2</v>
      </c>
      <c r="BE41" s="184">
        <f t="shared" si="22"/>
        <v>2</v>
      </c>
      <c r="BF41" s="184">
        <f t="shared" si="23"/>
        <v>2</v>
      </c>
      <c r="BG41" s="184" t="e">
        <f t="shared" si="24"/>
        <v>#VALUE!</v>
      </c>
      <c r="BH41" s="184">
        <f t="shared" si="25"/>
        <v>1</v>
      </c>
      <c r="BI41" s="184">
        <f t="shared" si="26"/>
        <v>2</v>
      </c>
      <c r="BJ41" s="184">
        <f t="shared" si="27"/>
        <v>2</v>
      </c>
      <c r="BK41" s="184">
        <f t="shared" si="28"/>
        <v>2</v>
      </c>
      <c r="BL41" s="184" t="e">
        <f t="shared" si="29"/>
        <v>#VALUE!</v>
      </c>
      <c r="BM41" s="184" t="e">
        <f t="shared" si="30"/>
        <v>#VALUE!</v>
      </c>
      <c r="BN41" s="184">
        <f t="shared" si="31"/>
        <v>2</v>
      </c>
      <c r="BO41" s="184" t="e">
        <f t="shared" si="32"/>
        <v>#VALUE!</v>
      </c>
      <c r="BP41" s="184">
        <f t="shared" si="33"/>
        <v>2</v>
      </c>
      <c r="BQ41" s="184">
        <f t="shared" si="34"/>
        <v>1</v>
      </c>
    </row>
    <row r="42" spans="1:69" ht="180" x14ac:dyDescent="0.25">
      <c r="A42" s="260"/>
      <c r="B42" s="150" t="s">
        <v>83</v>
      </c>
      <c r="C42" s="148" t="s">
        <v>64</v>
      </c>
      <c r="D42" s="149" t="s">
        <v>65</v>
      </c>
      <c r="E42" s="122">
        <v>480</v>
      </c>
      <c r="F42" s="80">
        <f t="shared" si="1"/>
        <v>2288.25</v>
      </c>
      <c r="G42" s="80">
        <f t="shared" si="2"/>
        <v>1173.3800000000001</v>
      </c>
      <c r="H42" s="3">
        <v>901.21</v>
      </c>
      <c r="I42" s="84">
        <v>0</v>
      </c>
      <c r="J42" s="3">
        <v>0</v>
      </c>
      <c r="K42" s="20">
        <f t="shared" si="3"/>
        <v>272.17</v>
      </c>
      <c r="L42" s="3"/>
      <c r="M42" s="84">
        <v>48.85</v>
      </c>
      <c r="N42" s="84">
        <v>0</v>
      </c>
      <c r="O42" s="84">
        <v>14.63</v>
      </c>
      <c r="P42" s="84">
        <v>0</v>
      </c>
      <c r="Q42" s="84">
        <v>0</v>
      </c>
      <c r="R42" s="3">
        <v>11.54</v>
      </c>
      <c r="S42" s="84">
        <v>27.22</v>
      </c>
      <c r="T42" s="3">
        <v>56.72</v>
      </c>
      <c r="U42" s="3">
        <v>0</v>
      </c>
      <c r="V42" s="84">
        <v>40.5</v>
      </c>
      <c r="W42" s="3">
        <v>27.56</v>
      </c>
      <c r="X42" s="20">
        <f t="shared" si="4"/>
        <v>535.55999999999995</v>
      </c>
      <c r="Y42" s="85">
        <v>411.34</v>
      </c>
      <c r="Z42" s="84">
        <v>0</v>
      </c>
      <c r="AA42" s="3">
        <v>0</v>
      </c>
      <c r="AB42" s="20">
        <f t="shared" si="5"/>
        <v>124.22</v>
      </c>
      <c r="AC42" s="84">
        <v>0</v>
      </c>
      <c r="AD42" s="84">
        <v>366.92</v>
      </c>
      <c r="AE42" s="20">
        <f t="shared" si="6"/>
        <v>1098.4000000000001</v>
      </c>
      <c r="AF42" s="84">
        <v>0</v>
      </c>
      <c r="AG42" s="3"/>
      <c r="AH42" s="3"/>
      <c r="AI42" s="3"/>
      <c r="AJ42" s="3"/>
      <c r="AK42" s="171"/>
      <c r="AL42" s="5"/>
      <c r="AM42" s="55"/>
      <c r="AN42" s="55"/>
      <c r="AO42" s="5">
        <v>2288.25</v>
      </c>
      <c r="AP42" s="5">
        <f t="shared" si="7"/>
        <v>0</v>
      </c>
      <c r="AR42" s="184">
        <f t="shared" si="9"/>
        <v>2</v>
      </c>
      <c r="AS42" s="184">
        <f t="shared" si="10"/>
        <v>2</v>
      </c>
      <c r="AT42" s="184">
        <f t="shared" si="11"/>
        <v>2</v>
      </c>
      <c r="AU42" s="184" t="e">
        <f t="shared" si="12"/>
        <v>#VALUE!</v>
      </c>
      <c r="AV42" s="184" t="e">
        <f t="shared" si="13"/>
        <v>#VALUE!</v>
      </c>
      <c r="AW42" s="184">
        <f t="shared" si="14"/>
        <v>2</v>
      </c>
      <c r="AX42" s="184" t="e">
        <f t="shared" si="15"/>
        <v>#VALUE!</v>
      </c>
      <c r="AY42" s="184">
        <f t="shared" si="16"/>
        <v>2</v>
      </c>
      <c r="AZ42" s="184" t="e">
        <f t="shared" si="17"/>
        <v>#VALUE!</v>
      </c>
      <c r="BA42" s="184">
        <f t="shared" si="18"/>
        <v>2</v>
      </c>
      <c r="BB42" s="184" t="e">
        <f t="shared" si="19"/>
        <v>#VALUE!</v>
      </c>
      <c r="BC42" s="184" t="e">
        <f t="shared" si="20"/>
        <v>#VALUE!</v>
      </c>
      <c r="BD42" s="184">
        <f t="shared" si="21"/>
        <v>2</v>
      </c>
      <c r="BE42" s="184">
        <f t="shared" si="22"/>
        <v>2</v>
      </c>
      <c r="BF42" s="184">
        <f t="shared" si="23"/>
        <v>2</v>
      </c>
      <c r="BG42" s="184" t="e">
        <f t="shared" si="24"/>
        <v>#VALUE!</v>
      </c>
      <c r="BH42" s="184">
        <f t="shared" si="25"/>
        <v>1</v>
      </c>
      <c r="BI42" s="184">
        <f t="shared" si="26"/>
        <v>2</v>
      </c>
      <c r="BJ42" s="184">
        <f t="shared" si="27"/>
        <v>2</v>
      </c>
      <c r="BK42" s="184">
        <f t="shared" si="28"/>
        <v>2</v>
      </c>
      <c r="BL42" s="184" t="e">
        <f t="shared" si="29"/>
        <v>#VALUE!</v>
      </c>
      <c r="BM42" s="184" t="e">
        <f t="shared" si="30"/>
        <v>#VALUE!</v>
      </c>
      <c r="BN42" s="184">
        <f t="shared" si="31"/>
        <v>2</v>
      </c>
      <c r="BO42" s="184" t="e">
        <f t="shared" si="32"/>
        <v>#VALUE!</v>
      </c>
      <c r="BP42" s="184">
        <f t="shared" si="33"/>
        <v>2</v>
      </c>
      <c r="BQ42" s="184">
        <f t="shared" si="34"/>
        <v>1</v>
      </c>
    </row>
    <row r="43" spans="1:69" ht="90" x14ac:dyDescent="0.25">
      <c r="A43" s="260"/>
      <c r="B43" s="150" t="s">
        <v>84</v>
      </c>
      <c r="C43" s="148" t="s">
        <v>64</v>
      </c>
      <c r="D43" s="149" t="s">
        <v>65</v>
      </c>
      <c r="E43" s="122">
        <v>950</v>
      </c>
      <c r="F43" s="80">
        <f t="shared" si="1"/>
        <v>2288.25</v>
      </c>
      <c r="G43" s="80">
        <f t="shared" si="2"/>
        <v>1173.3800000000001</v>
      </c>
      <c r="H43" s="3">
        <v>901.21</v>
      </c>
      <c r="I43" s="84">
        <v>0</v>
      </c>
      <c r="J43" s="3">
        <v>0</v>
      </c>
      <c r="K43" s="20">
        <f t="shared" si="3"/>
        <v>272.17</v>
      </c>
      <c r="L43" s="3"/>
      <c r="M43" s="84">
        <v>48.85</v>
      </c>
      <c r="N43" s="84">
        <v>0</v>
      </c>
      <c r="O43" s="84">
        <v>14.63</v>
      </c>
      <c r="P43" s="84">
        <v>0</v>
      </c>
      <c r="Q43" s="84">
        <v>0</v>
      </c>
      <c r="R43" s="3">
        <v>11.54</v>
      </c>
      <c r="S43" s="84">
        <v>27.22</v>
      </c>
      <c r="T43" s="3">
        <v>56.72</v>
      </c>
      <c r="U43" s="3">
        <v>0</v>
      </c>
      <c r="V43" s="84">
        <v>40.5</v>
      </c>
      <c r="W43" s="3">
        <v>27.56</v>
      </c>
      <c r="X43" s="20">
        <f t="shared" si="4"/>
        <v>535.55999999999995</v>
      </c>
      <c r="Y43" s="85">
        <v>411.34</v>
      </c>
      <c r="Z43" s="84">
        <v>0</v>
      </c>
      <c r="AA43" s="3">
        <v>0</v>
      </c>
      <c r="AB43" s="20">
        <f t="shared" si="5"/>
        <v>124.22</v>
      </c>
      <c r="AC43" s="84">
        <v>0</v>
      </c>
      <c r="AD43" s="84">
        <v>366.92</v>
      </c>
      <c r="AE43" s="20">
        <f t="shared" si="6"/>
        <v>2173.8000000000002</v>
      </c>
      <c r="AF43" s="84">
        <v>0</v>
      </c>
      <c r="AG43" s="3"/>
      <c r="AH43" s="3"/>
      <c r="AI43" s="3"/>
      <c r="AJ43" s="3"/>
      <c r="AK43" s="171"/>
      <c r="AL43" s="5"/>
      <c r="AM43" s="55"/>
      <c r="AN43" s="55"/>
      <c r="AO43" s="5">
        <v>2288.25</v>
      </c>
      <c r="AP43" s="5">
        <f t="shared" si="7"/>
        <v>0</v>
      </c>
      <c r="AR43" s="184">
        <f t="shared" si="9"/>
        <v>2</v>
      </c>
      <c r="AS43" s="184">
        <f t="shared" si="10"/>
        <v>2</v>
      </c>
      <c r="AT43" s="184">
        <f t="shared" si="11"/>
        <v>2</v>
      </c>
      <c r="AU43" s="184" t="e">
        <f t="shared" si="12"/>
        <v>#VALUE!</v>
      </c>
      <c r="AV43" s="184" t="e">
        <f t="shared" si="13"/>
        <v>#VALUE!</v>
      </c>
      <c r="AW43" s="184">
        <f t="shared" si="14"/>
        <v>2</v>
      </c>
      <c r="AX43" s="184" t="e">
        <f t="shared" si="15"/>
        <v>#VALUE!</v>
      </c>
      <c r="AY43" s="184">
        <f t="shared" si="16"/>
        <v>2</v>
      </c>
      <c r="AZ43" s="184" t="e">
        <f t="shared" si="17"/>
        <v>#VALUE!</v>
      </c>
      <c r="BA43" s="184">
        <f t="shared" si="18"/>
        <v>2</v>
      </c>
      <c r="BB43" s="184" t="e">
        <f t="shared" si="19"/>
        <v>#VALUE!</v>
      </c>
      <c r="BC43" s="184" t="e">
        <f t="shared" si="20"/>
        <v>#VALUE!</v>
      </c>
      <c r="BD43" s="184">
        <f t="shared" si="21"/>
        <v>2</v>
      </c>
      <c r="BE43" s="184">
        <f t="shared" si="22"/>
        <v>2</v>
      </c>
      <c r="BF43" s="184">
        <f t="shared" si="23"/>
        <v>2</v>
      </c>
      <c r="BG43" s="184" t="e">
        <f t="shared" si="24"/>
        <v>#VALUE!</v>
      </c>
      <c r="BH43" s="184">
        <f t="shared" si="25"/>
        <v>1</v>
      </c>
      <c r="BI43" s="184">
        <f t="shared" si="26"/>
        <v>2</v>
      </c>
      <c r="BJ43" s="184">
        <f t="shared" si="27"/>
        <v>2</v>
      </c>
      <c r="BK43" s="184">
        <f t="shared" si="28"/>
        <v>2</v>
      </c>
      <c r="BL43" s="184" t="e">
        <f t="shared" si="29"/>
        <v>#VALUE!</v>
      </c>
      <c r="BM43" s="184" t="e">
        <f t="shared" si="30"/>
        <v>#VALUE!</v>
      </c>
      <c r="BN43" s="184">
        <f t="shared" si="31"/>
        <v>2</v>
      </c>
      <c r="BO43" s="184" t="e">
        <f t="shared" si="32"/>
        <v>#VALUE!</v>
      </c>
      <c r="BP43" s="184">
        <f t="shared" si="33"/>
        <v>2</v>
      </c>
      <c r="BQ43" s="184">
        <f t="shared" si="34"/>
        <v>1</v>
      </c>
    </row>
    <row r="44" spans="1:69" ht="20.25" x14ac:dyDescent="0.25">
      <c r="AE44" s="177">
        <f>SUM(AE11:AE43)</f>
        <v>733929.5</v>
      </c>
      <c r="AF44" s="177">
        <f>SUM(AF11:AF43)</f>
        <v>4525.3</v>
      </c>
      <c r="AG44" s="163">
        <f>SUM(AG11:AG43)</f>
        <v>738454.79999999993</v>
      </c>
      <c r="AH44" s="163">
        <f>SUM(AH11:AH43)</f>
        <v>738454.79999999993</v>
      </c>
      <c r="AI44" s="163">
        <f>AH44-AG44</f>
        <v>0</v>
      </c>
      <c r="AJ44" s="180"/>
      <c r="AK44" s="163">
        <f t="shared" ref="AK44:AL44" si="39">SUM(AK11:AK43)</f>
        <v>738454.80417405954</v>
      </c>
      <c r="AL44" s="163">
        <f t="shared" si="39"/>
        <v>4.1740596607269254E-3</v>
      </c>
      <c r="AP44" s="108">
        <f>SUM(AP11:AP43)</f>
        <v>18112.264115499598</v>
      </c>
    </row>
    <row r="45" spans="1:69" ht="18.75" x14ac:dyDescent="0.25">
      <c r="AG45" s="162">
        <v>738454.8</v>
      </c>
    </row>
    <row r="46" spans="1:69" ht="15.75" x14ac:dyDescent="0.25">
      <c r="AG46" s="84">
        <f>AG45-AG44</f>
        <v>0</v>
      </c>
    </row>
    <row r="47" spans="1:69" x14ac:dyDescent="0.25">
      <c r="AG47" s="108">
        <f>AG44-AG40</f>
        <v>719135.39999999991</v>
      </c>
    </row>
  </sheetData>
  <autoFilter ref="AR10:BQ46"/>
  <mergeCells count="44">
    <mergeCell ref="A40:A43"/>
    <mergeCell ref="AB7:AB9"/>
    <mergeCell ref="AC7:AC9"/>
    <mergeCell ref="M8:M9"/>
    <mergeCell ref="N8:O8"/>
    <mergeCell ref="G6:G9"/>
    <mergeCell ref="I7:I9"/>
    <mergeCell ref="A3:A9"/>
    <mergeCell ref="B3:B9"/>
    <mergeCell ref="T5:T9"/>
    <mergeCell ref="U5:U9"/>
    <mergeCell ref="S5:S9"/>
    <mergeCell ref="AG23:AG25"/>
    <mergeCell ref="AG26:AG2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H6:L6"/>
    <mergeCell ref="X6:X9"/>
    <mergeCell ref="Y6:AC6"/>
    <mergeCell ref="H7:H9"/>
    <mergeCell ref="AG29:AG31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C3:D3"/>
    <mergeCell ref="F3:AD3"/>
    <mergeCell ref="AE3:AE9"/>
    <mergeCell ref="AF3:AF9"/>
    <mergeCell ref="R5:R9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R49"/>
  <sheetViews>
    <sheetView zoomScale="70" zoomScaleNormal="70" workbookViewId="0">
      <pane xSplit="6" ySplit="10" topLeftCell="AE44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22.8554687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8" width="22" customWidth="1"/>
    <col min="39" max="40" width="22.5703125" customWidth="1"/>
    <col min="41" max="41" width="20.5703125" customWidth="1"/>
    <col min="42" max="42" width="17.140625" customWidth="1"/>
    <col min="44" max="44" width="11.7109375" customWidth="1"/>
  </cols>
  <sheetData>
    <row r="1" spans="1:44" ht="45" x14ac:dyDescent="0.25">
      <c r="Z1" s="193" t="s">
        <v>105</v>
      </c>
      <c r="AA1" s="193" t="s">
        <v>106</v>
      </c>
      <c r="AB1" s="193" t="s">
        <v>107</v>
      </c>
    </row>
    <row r="2" spans="1:44" ht="18.75" x14ac:dyDescent="0.3">
      <c r="A2" s="118" t="s">
        <v>86</v>
      </c>
      <c r="B2" s="151" t="s">
        <v>95</v>
      </c>
      <c r="C2" s="151"/>
      <c r="Z2" s="192">
        <f>E11+E14+E17+E20+E23+E26+E29+E32+E34+E36</f>
        <v>165455</v>
      </c>
      <c r="AA2" s="192">
        <f>E12+E15+E18+E21+E24+E27+E30+E33+E35+E37+E38+E39</f>
        <v>674</v>
      </c>
      <c r="AB2" s="192">
        <f>E13+E16+E19+E22+E25+E28+E31</f>
        <v>38</v>
      </c>
      <c r="AD2" s="131" t="s">
        <v>100</v>
      </c>
    </row>
    <row r="3" spans="1:44" ht="15.75" customHeight="1" x14ac:dyDescent="0.25">
      <c r="A3" s="247" t="s">
        <v>0</v>
      </c>
      <c r="B3" s="243" t="s">
        <v>1</v>
      </c>
      <c r="C3" s="248" t="s">
        <v>2</v>
      </c>
      <c r="D3" s="248"/>
      <c r="E3" s="135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4</v>
      </c>
      <c r="AF3" s="243" t="s">
        <v>5</v>
      </c>
      <c r="AG3" s="244" t="s">
        <v>6</v>
      </c>
      <c r="AH3" s="158"/>
      <c r="AI3" s="158"/>
      <c r="AJ3" s="158"/>
      <c r="AK3" s="158"/>
      <c r="AL3" s="158"/>
      <c r="AM3" s="4"/>
      <c r="AN3" s="4"/>
    </row>
    <row r="4" spans="1:44" ht="15.75" customHeight="1" x14ac:dyDescent="0.25">
      <c r="A4" s="238"/>
      <c r="B4" s="242"/>
      <c r="C4" s="249" t="s">
        <v>7</v>
      </c>
      <c r="D4" s="249" t="s">
        <v>8</v>
      </c>
      <c r="E4" s="249" t="s">
        <v>9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  <c r="AF4" s="242"/>
      <c r="AG4" s="245"/>
      <c r="AH4" s="158"/>
      <c r="AI4" s="158"/>
      <c r="AJ4" s="158"/>
      <c r="AK4" s="158"/>
      <c r="AL4" s="158"/>
      <c r="AM4" s="4"/>
      <c r="AN4" s="4"/>
    </row>
    <row r="5" spans="1:44" ht="15.75" customHeight="1" x14ac:dyDescent="0.25">
      <c r="A5" s="238"/>
      <c r="B5" s="242"/>
      <c r="C5" s="249"/>
      <c r="D5" s="249"/>
      <c r="E5" s="249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  <c r="AF5" s="242"/>
      <c r="AG5" s="245"/>
      <c r="AH5" s="158"/>
      <c r="AI5" s="158"/>
      <c r="AJ5" s="158"/>
      <c r="AK5" s="158"/>
      <c r="AL5" s="158"/>
      <c r="AM5" s="4"/>
      <c r="AN5" s="4"/>
    </row>
    <row r="6" spans="1:44" ht="15.75" customHeight="1" x14ac:dyDescent="0.25">
      <c r="A6" s="238"/>
      <c r="B6" s="242"/>
      <c r="C6" s="249"/>
      <c r="D6" s="249"/>
      <c r="E6" s="249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  <c r="AF6" s="242"/>
      <c r="AG6" s="245"/>
      <c r="AH6" s="158"/>
      <c r="AI6" s="158"/>
      <c r="AJ6" s="158"/>
      <c r="AK6" s="158"/>
      <c r="AL6" s="158"/>
      <c r="AM6" s="4"/>
      <c r="AN6" s="4"/>
    </row>
    <row r="7" spans="1:44" ht="15.75" customHeight="1" x14ac:dyDescent="0.25">
      <c r="A7" s="238"/>
      <c r="B7" s="242"/>
      <c r="C7" s="249"/>
      <c r="D7" s="249"/>
      <c r="E7" s="249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  <c r="AF7" s="242"/>
      <c r="AG7" s="245"/>
      <c r="AH7" s="158"/>
      <c r="AI7" s="158"/>
      <c r="AJ7" s="158"/>
      <c r="AK7" s="158"/>
      <c r="AL7" s="158"/>
      <c r="AM7" s="4"/>
      <c r="AN7" s="4"/>
    </row>
    <row r="8" spans="1:44" ht="15.75" x14ac:dyDescent="0.25">
      <c r="A8" s="238"/>
      <c r="B8" s="242"/>
      <c r="C8" s="249"/>
      <c r="D8" s="249"/>
      <c r="E8" s="249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  <c r="AF8" s="242"/>
      <c r="AG8" s="245"/>
      <c r="AH8" s="158"/>
      <c r="AI8" s="158"/>
      <c r="AJ8" s="158"/>
      <c r="AK8" s="158"/>
      <c r="AL8" s="158"/>
      <c r="AM8" s="4"/>
      <c r="AN8" s="4"/>
    </row>
    <row r="9" spans="1:44" ht="94.5" x14ac:dyDescent="0.25">
      <c r="A9" s="238"/>
      <c r="B9" s="242"/>
      <c r="C9" s="249"/>
      <c r="D9" s="249"/>
      <c r="E9" s="249"/>
      <c r="F9" s="246"/>
      <c r="G9" s="246"/>
      <c r="H9" s="242"/>
      <c r="I9" s="242"/>
      <c r="J9" s="242"/>
      <c r="K9" s="242"/>
      <c r="L9" s="242"/>
      <c r="M9" s="246"/>
      <c r="N9" s="133" t="s">
        <v>33</v>
      </c>
      <c r="O9" s="133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  <c r="AF9" s="242"/>
      <c r="AG9" s="245"/>
      <c r="AH9" s="158" t="s">
        <v>94</v>
      </c>
      <c r="AI9" s="158"/>
      <c r="AJ9" s="158"/>
      <c r="AK9" s="158" t="s">
        <v>101</v>
      </c>
      <c r="AL9" s="158" t="s">
        <v>102</v>
      </c>
      <c r="AM9" s="44" t="s">
        <v>68</v>
      </c>
      <c r="AN9" s="45" t="s">
        <v>69</v>
      </c>
      <c r="AO9" s="158" t="s">
        <v>98</v>
      </c>
      <c r="AP9" s="158" t="s">
        <v>97</v>
      </c>
    </row>
    <row r="10" spans="1:44" ht="15.75" x14ac:dyDescent="0.25">
      <c r="A10" s="134">
        <v>1</v>
      </c>
      <c r="B10" s="137">
        <v>2</v>
      </c>
      <c r="C10" s="136">
        <v>3</v>
      </c>
      <c r="D10" s="137">
        <v>4</v>
      </c>
      <c r="E10" s="136">
        <v>5</v>
      </c>
      <c r="F10" s="137">
        <v>6</v>
      </c>
      <c r="G10" s="136">
        <v>7</v>
      </c>
      <c r="H10" s="137">
        <v>8</v>
      </c>
      <c r="I10" s="136">
        <v>9</v>
      </c>
      <c r="J10" s="137">
        <v>10</v>
      </c>
      <c r="K10" s="136">
        <v>11</v>
      </c>
      <c r="L10" s="137">
        <v>12</v>
      </c>
      <c r="M10" s="136">
        <v>13</v>
      </c>
      <c r="N10" s="133">
        <v>14</v>
      </c>
      <c r="O10" s="137">
        <v>15</v>
      </c>
      <c r="P10" s="137">
        <f>O10+1</f>
        <v>16</v>
      </c>
      <c r="Q10" s="137">
        <f t="shared" ref="Q10:AD10" si="0">P10+1</f>
        <v>17</v>
      </c>
      <c r="R10" s="137">
        <f t="shared" si="0"/>
        <v>18</v>
      </c>
      <c r="S10" s="137">
        <f t="shared" si="0"/>
        <v>19</v>
      </c>
      <c r="T10" s="137">
        <f t="shared" si="0"/>
        <v>20</v>
      </c>
      <c r="U10" s="137">
        <f t="shared" si="0"/>
        <v>21</v>
      </c>
      <c r="V10" s="137">
        <f t="shared" si="0"/>
        <v>22</v>
      </c>
      <c r="W10" s="137">
        <f t="shared" si="0"/>
        <v>23</v>
      </c>
      <c r="X10" s="137">
        <f t="shared" si="0"/>
        <v>24</v>
      </c>
      <c r="Y10" s="137">
        <f t="shared" si="0"/>
        <v>25</v>
      </c>
      <c r="Z10" s="137">
        <f t="shared" si="0"/>
        <v>26</v>
      </c>
      <c r="AA10" s="137">
        <f t="shared" si="0"/>
        <v>27</v>
      </c>
      <c r="AB10" s="137">
        <f t="shared" si="0"/>
        <v>28</v>
      </c>
      <c r="AC10" s="137">
        <f t="shared" si="0"/>
        <v>29</v>
      </c>
      <c r="AD10" s="137">
        <f t="shared" si="0"/>
        <v>30</v>
      </c>
      <c r="AE10" s="137">
        <f>AF10+1</f>
        <v>32</v>
      </c>
      <c r="AF10" s="137">
        <f>AD10+1</f>
        <v>31</v>
      </c>
      <c r="AG10" s="15"/>
      <c r="AH10" s="183">
        <f>AG45-AG44</f>
        <v>0</v>
      </c>
      <c r="AI10" s="153"/>
      <c r="AJ10" s="170"/>
      <c r="AK10" s="170"/>
      <c r="AL10" s="170"/>
      <c r="AM10" s="46"/>
      <c r="AN10" s="4"/>
    </row>
    <row r="11" spans="1:44" ht="78.75" x14ac:dyDescent="0.25">
      <c r="A11" s="154" t="s">
        <v>35</v>
      </c>
      <c r="B11" s="139" t="s">
        <v>36</v>
      </c>
      <c r="C11" s="139" t="s">
        <v>37</v>
      </c>
      <c r="D11" s="58" t="s">
        <v>38</v>
      </c>
      <c r="E11" s="122">
        <v>24233</v>
      </c>
      <c r="F11" s="80">
        <f t="shared" ref="F11:F43" si="1">SUM(G11,M11,Q11,R11,S11,T11,V11,W11,X11,AD11,P11,U11)</f>
        <v>4177.51</v>
      </c>
      <c r="G11" s="80">
        <f t="shared" ref="G11:G43" si="2">SUM(H11:L11)</f>
        <v>1742.66</v>
      </c>
      <c r="H11" s="80">
        <v>1338.45</v>
      </c>
      <c r="I11" s="80">
        <v>0</v>
      </c>
      <c r="J11" s="80">
        <v>0</v>
      </c>
      <c r="K11" s="80">
        <f t="shared" ref="K11:K43" si="3">ROUND(H11*0.302,2)</f>
        <v>404.21</v>
      </c>
      <c r="L11" s="80">
        <v>0</v>
      </c>
      <c r="M11" s="80">
        <v>209.66</v>
      </c>
      <c r="N11" s="80">
        <v>0</v>
      </c>
      <c r="O11" s="80">
        <v>65.849999999999994</v>
      </c>
      <c r="P11" s="80">
        <v>0</v>
      </c>
      <c r="Q11" s="80">
        <v>1.07</v>
      </c>
      <c r="R11" s="80">
        <v>197.05</v>
      </c>
      <c r="S11" s="80">
        <v>92.28</v>
      </c>
      <c r="T11" s="80">
        <v>485.06</v>
      </c>
      <c r="U11" s="80">
        <v>0</v>
      </c>
      <c r="V11" s="80">
        <v>18.63</v>
      </c>
      <c r="W11" s="80">
        <v>0</v>
      </c>
      <c r="X11" s="80">
        <f t="shared" ref="X11:X43" si="4">SUM(Y11:AC11)</f>
        <v>1366.25</v>
      </c>
      <c r="Y11" s="80">
        <v>1049.3499999999999</v>
      </c>
      <c r="Z11" s="80">
        <v>0</v>
      </c>
      <c r="AA11" s="80">
        <v>0</v>
      </c>
      <c r="AB11" s="80">
        <f t="shared" ref="AB11:AB43" si="5">ROUND(Y11*0.302,2)</f>
        <v>316.89999999999998</v>
      </c>
      <c r="AC11" s="80"/>
      <c r="AD11" s="175">
        <f>66.02-1.13-0.04</f>
        <v>64.849999999999994</v>
      </c>
      <c r="AE11" s="80">
        <f t="shared" ref="AE11:AE43" si="6">ROUND(E11*F11/1000,1)</f>
        <v>101233.60000000001</v>
      </c>
      <c r="AF11" s="172">
        <v>788.6</v>
      </c>
      <c r="AG11" s="80">
        <f>SUM(AE11:AF13)</f>
        <v>104480.50000000001</v>
      </c>
      <c r="AH11" s="5">
        <v>104481.4</v>
      </c>
      <c r="AI11" s="5">
        <f>AH11-AG11</f>
        <v>0.89999999997962732</v>
      </c>
      <c r="AJ11">
        <f>AH10*1000/E11</f>
        <v>0</v>
      </c>
      <c r="AK11" s="171">
        <v>104481.35244</v>
      </c>
      <c r="AL11" s="171">
        <f>AG11-AK11</f>
        <v>-0.85243999998783693</v>
      </c>
      <c r="AM11" s="47"/>
      <c r="AN11" s="55"/>
      <c r="AO11" s="80">
        <v>4178.68</v>
      </c>
      <c r="AP11" s="80">
        <f>AO11-F11</f>
        <v>1.1700000000000728</v>
      </c>
      <c r="AR11" s="184">
        <f t="shared" ref="AR11:AR43" si="7">LEN(F11)-SEARCH(",",F11)</f>
        <v>2</v>
      </c>
    </row>
    <row r="12" spans="1:44" ht="63" x14ac:dyDescent="0.25">
      <c r="A12" s="154" t="s">
        <v>35</v>
      </c>
      <c r="B12" s="139" t="s">
        <v>39</v>
      </c>
      <c r="C12" s="139" t="s">
        <v>40</v>
      </c>
      <c r="D12" s="58" t="s">
        <v>38</v>
      </c>
      <c r="E12" s="122">
        <v>57</v>
      </c>
      <c r="F12" s="80">
        <f t="shared" si="1"/>
        <v>32443.33</v>
      </c>
      <c r="G12" s="80">
        <f t="shared" si="2"/>
        <v>28052.89</v>
      </c>
      <c r="H12" s="80">
        <v>21546</v>
      </c>
      <c r="I12" s="80">
        <v>0</v>
      </c>
      <c r="J12" s="80">
        <v>0</v>
      </c>
      <c r="K12" s="80">
        <f t="shared" si="3"/>
        <v>6506.89</v>
      </c>
      <c r="L12" s="80">
        <v>0</v>
      </c>
      <c r="M12" s="80">
        <v>249.04</v>
      </c>
      <c r="N12" s="80">
        <v>0</v>
      </c>
      <c r="O12" s="80">
        <v>39.630000000000003</v>
      </c>
      <c r="P12" s="80">
        <v>0</v>
      </c>
      <c r="Q12" s="80">
        <v>55.16</v>
      </c>
      <c r="R12" s="80">
        <v>117.62</v>
      </c>
      <c r="S12" s="80">
        <v>561.74</v>
      </c>
      <c r="T12" s="80">
        <v>235.15</v>
      </c>
      <c r="U12" s="80">
        <v>0</v>
      </c>
      <c r="V12" s="80">
        <v>13.14</v>
      </c>
      <c r="W12" s="80">
        <v>0</v>
      </c>
      <c r="X12" s="80">
        <f t="shared" si="4"/>
        <v>2584.7799999999997</v>
      </c>
      <c r="Y12" s="80">
        <v>1985.24</v>
      </c>
      <c r="Z12" s="80">
        <v>0</v>
      </c>
      <c r="AA12" s="80">
        <v>0</v>
      </c>
      <c r="AB12" s="80">
        <f t="shared" si="5"/>
        <v>599.54</v>
      </c>
      <c r="AC12" s="80"/>
      <c r="AD12" s="175">
        <f>572.06+1.75</f>
        <v>573.80999999999995</v>
      </c>
      <c r="AE12" s="80">
        <f t="shared" si="6"/>
        <v>1849.3</v>
      </c>
      <c r="AF12" s="159">
        <v>0</v>
      </c>
      <c r="AG12" s="80"/>
      <c r="AH12" s="5"/>
      <c r="AI12" s="5"/>
      <c r="AJ12">
        <f>AH10*1000/E12</f>
        <v>0</v>
      </c>
      <c r="AK12" s="171"/>
      <c r="AL12" s="171"/>
      <c r="AM12" s="47"/>
      <c r="AN12" s="55"/>
      <c r="AO12" s="80">
        <v>32441.58</v>
      </c>
      <c r="AP12" s="80">
        <f t="shared" ref="AP12:AP43" si="8">AO12-F12</f>
        <v>-1.75</v>
      </c>
      <c r="AR12" s="184">
        <f t="shared" si="7"/>
        <v>2</v>
      </c>
    </row>
    <row r="13" spans="1:44" ht="45" x14ac:dyDescent="0.25">
      <c r="A13" s="154" t="s">
        <v>35</v>
      </c>
      <c r="B13" s="139" t="s">
        <v>41</v>
      </c>
      <c r="C13" s="140" t="s">
        <v>42</v>
      </c>
      <c r="D13" s="58" t="s">
        <v>38</v>
      </c>
      <c r="E13" s="122">
        <v>5</v>
      </c>
      <c r="F13" s="80">
        <f t="shared" si="1"/>
        <v>121792.38</v>
      </c>
      <c r="G13" s="80">
        <f t="shared" si="2"/>
        <v>78555.39</v>
      </c>
      <c r="H13" s="80">
        <v>60334.400000000001</v>
      </c>
      <c r="I13" s="80">
        <v>0</v>
      </c>
      <c r="J13" s="80">
        <v>0</v>
      </c>
      <c r="K13" s="80">
        <f t="shared" si="3"/>
        <v>18220.990000000002</v>
      </c>
      <c r="L13" s="80">
        <v>0</v>
      </c>
      <c r="M13" s="80">
        <v>915.93</v>
      </c>
      <c r="N13" s="80">
        <v>0</v>
      </c>
      <c r="O13" s="80">
        <v>83.39</v>
      </c>
      <c r="P13" s="80">
        <v>0</v>
      </c>
      <c r="Q13" s="80">
        <v>12413.88</v>
      </c>
      <c r="R13" s="80">
        <v>464.46</v>
      </c>
      <c r="S13" s="80">
        <v>1224.76</v>
      </c>
      <c r="T13" s="80">
        <v>14333.18</v>
      </c>
      <c r="U13" s="80">
        <v>0</v>
      </c>
      <c r="V13" s="80">
        <v>67.3</v>
      </c>
      <c r="W13" s="80">
        <v>0</v>
      </c>
      <c r="X13" s="80">
        <f t="shared" si="4"/>
        <v>11143.62</v>
      </c>
      <c r="Y13" s="80">
        <v>8558.85</v>
      </c>
      <c r="Z13" s="80">
        <v>0</v>
      </c>
      <c r="AA13" s="80">
        <v>0</v>
      </c>
      <c r="AB13" s="80">
        <f t="shared" si="5"/>
        <v>2584.77</v>
      </c>
      <c r="AC13" s="80"/>
      <c r="AD13" s="80">
        <v>2673.86</v>
      </c>
      <c r="AE13" s="80">
        <f t="shared" si="6"/>
        <v>609</v>
      </c>
      <c r="AF13" s="159">
        <v>0</v>
      </c>
      <c r="AG13" s="80"/>
      <c r="AH13" s="5"/>
      <c r="AI13" s="5"/>
      <c r="AJ13" s="5"/>
      <c r="AK13" s="171"/>
      <c r="AL13" s="171"/>
      <c r="AM13" s="47"/>
      <c r="AN13" s="55"/>
      <c r="AO13" s="80">
        <v>121792.38</v>
      </c>
      <c r="AP13" s="80">
        <f t="shared" si="8"/>
        <v>0</v>
      </c>
      <c r="AR13" s="184">
        <f t="shared" si="7"/>
        <v>2</v>
      </c>
    </row>
    <row r="14" spans="1:44" ht="78.75" x14ac:dyDescent="0.25">
      <c r="A14" s="123" t="s">
        <v>43</v>
      </c>
      <c r="B14" s="139" t="s">
        <v>36</v>
      </c>
      <c r="C14" s="139" t="s">
        <v>37</v>
      </c>
      <c r="D14" s="139" t="s">
        <v>38</v>
      </c>
      <c r="E14" s="122">
        <v>20330</v>
      </c>
      <c r="F14" s="80">
        <f t="shared" ref="F14:F16" si="9">SUM(G14,M14,Q14,R14,S14,T14,V14,W14,X14,AD14,P14,U14)</f>
        <v>4326.04</v>
      </c>
      <c r="G14" s="80">
        <f t="shared" ref="G14:G16" si="10">SUM(H14:L14)</f>
        <v>1979.31</v>
      </c>
      <c r="H14" s="3">
        <v>1520.21</v>
      </c>
      <c r="I14" s="84">
        <v>0</v>
      </c>
      <c r="J14" s="3">
        <v>0</v>
      </c>
      <c r="K14" s="20">
        <f t="shared" si="3"/>
        <v>459.1</v>
      </c>
      <c r="L14" s="3">
        <v>0</v>
      </c>
      <c r="M14" s="84">
        <v>335.18</v>
      </c>
      <c r="N14" s="84">
        <v>81.13</v>
      </c>
      <c r="O14" s="84">
        <v>4.07</v>
      </c>
      <c r="P14" s="84">
        <v>0</v>
      </c>
      <c r="Q14" s="84">
        <v>177.34</v>
      </c>
      <c r="R14" s="3">
        <v>282.39999999999998</v>
      </c>
      <c r="S14" s="84">
        <v>116.23</v>
      </c>
      <c r="T14" s="3">
        <v>93.14</v>
      </c>
      <c r="U14" s="3">
        <v>0</v>
      </c>
      <c r="V14" s="84">
        <v>19.78</v>
      </c>
      <c r="W14" s="3">
        <v>0</v>
      </c>
      <c r="X14" s="20">
        <f t="shared" si="4"/>
        <v>1154.8000000000002</v>
      </c>
      <c r="Y14" s="85">
        <v>886.94</v>
      </c>
      <c r="Z14" s="84">
        <v>0</v>
      </c>
      <c r="AA14" s="3">
        <v>0</v>
      </c>
      <c r="AB14" s="20">
        <f t="shared" si="5"/>
        <v>267.86</v>
      </c>
      <c r="AC14" s="84"/>
      <c r="AD14" s="168">
        <f>167.63+0.23</f>
        <v>167.85999999999999</v>
      </c>
      <c r="AE14" s="20">
        <f t="shared" si="6"/>
        <v>87948.4</v>
      </c>
      <c r="AF14" s="173">
        <v>297.3</v>
      </c>
      <c r="AG14" s="130">
        <f>SUM(AE14:AF16)</f>
        <v>90524.099999999991</v>
      </c>
      <c r="AH14" s="130">
        <v>90524.1</v>
      </c>
      <c r="AI14" s="5">
        <f>AH14-AG14</f>
        <v>0</v>
      </c>
      <c r="AJ14">
        <f>AI14*1000/E14</f>
        <v>0</v>
      </c>
      <c r="AK14" s="171">
        <v>90524.112399999984</v>
      </c>
      <c r="AL14" s="171">
        <f>AG14-AK14</f>
        <v>-1.2399999992339872E-2</v>
      </c>
      <c r="AM14" s="55"/>
      <c r="AN14" s="55"/>
      <c r="AO14" s="80">
        <v>4325.8</v>
      </c>
      <c r="AP14" s="80">
        <f t="shared" si="8"/>
        <v>-0.23999999999978172</v>
      </c>
      <c r="AR14" s="184">
        <f t="shared" si="7"/>
        <v>2</v>
      </c>
    </row>
    <row r="15" spans="1:44" ht="63" x14ac:dyDescent="0.25">
      <c r="A15" s="123" t="s">
        <v>43</v>
      </c>
      <c r="B15" s="139" t="s">
        <v>39</v>
      </c>
      <c r="C15" s="139" t="s">
        <v>40</v>
      </c>
      <c r="D15" s="139" t="s">
        <v>38</v>
      </c>
      <c r="E15" s="122">
        <v>60</v>
      </c>
      <c r="F15" s="80">
        <f t="shared" si="9"/>
        <v>32575.27</v>
      </c>
      <c r="G15" s="80">
        <f t="shared" si="10"/>
        <v>12063.68</v>
      </c>
      <c r="H15" s="3">
        <v>9265.5</v>
      </c>
      <c r="I15" s="84">
        <v>0</v>
      </c>
      <c r="J15" s="3">
        <v>0</v>
      </c>
      <c r="K15" s="20">
        <f t="shared" si="3"/>
        <v>2798.18</v>
      </c>
      <c r="L15" s="3">
        <v>0</v>
      </c>
      <c r="M15" s="84">
        <v>224.7</v>
      </c>
      <c r="N15" s="84">
        <v>0</v>
      </c>
      <c r="O15" s="84">
        <v>4.33</v>
      </c>
      <c r="P15" s="84">
        <v>0</v>
      </c>
      <c r="Q15" s="84">
        <v>2033.87</v>
      </c>
      <c r="R15" s="3">
        <v>91.66</v>
      </c>
      <c r="S15" s="84">
        <v>26.73</v>
      </c>
      <c r="T15" s="3">
        <v>0</v>
      </c>
      <c r="U15" s="3">
        <v>0</v>
      </c>
      <c r="V15" s="84">
        <v>19.68</v>
      </c>
      <c r="W15" s="3">
        <v>16519.09</v>
      </c>
      <c r="X15" s="20">
        <f t="shared" si="4"/>
        <v>1514.62</v>
      </c>
      <c r="Y15" s="85">
        <v>1163.3</v>
      </c>
      <c r="Z15" s="84">
        <v>0</v>
      </c>
      <c r="AA15" s="3">
        <v>0</v>
      </c>
      <c r="AB15" s="20">
        <f t="shared" si="5"/>
        <v>351.32</v>
      </c>
      <c r="AC15" s="84"/>
      <c r="AD15" s="168">
        <f>79.57+1.67</f>
        <v>81.239999999999995</v>
      </c>
      <c r="AE15" s="20">
        <f t="shared" si="6"/>
        <v>1954.5</v>
      </c>
      <c r="AF15" s="84">
        <v>0</v>
      </c>
      <c r="AG15" s="3"/>
      <c r="AH15" s="3"/>
      <c r="AI15" s="3"/>
      <c r="AJ15">
        <f>AI14*1000/E15</f>
        <v>0</v>
      </c>
      <c r="AK15" s="171"/>
      <c r="AL15" s="171"/>
      <c r="AM15" s="55"/>
      <c r="AN15" s="55"/>
      <c r="AO15" s="80">
        <v>32573.60000153583</v>
      </c>
      <c r="AP15" s="80">
        <f t="shared" si="8"/>
        <v>-1.6699984641709307</v>
      </c>
      <c r="AR15" s="184">
        <f t="shared" si="7"/>
        <v>2</v>
      </c>
    </row>
    <row r="16" spans="1:44" ht="47.25" x14ac:dyDescent="0.25">
      <c r="A16" s="123" t="s">
        <v>43</v>
      </c>
      <c r="B16" s="139" t="s">
        <v>41</v>
      </c>
      <c r="C16" s="139" t="s">
        <v>42</v>
      </c>
      <c r="D16" s="139" t="s">
        <v>38</v>
      </c>
      <c r="E16" s="122">
        <v>1</v>
      </c>
      <c r="F16" s="80">
        <f t="shared" si="9"/>
        <v>323871.60000000009</v>
      </c>
      <c r="G16" s="80">
        <f t="shared" si="10"/>
        <v>281541.03000000003</v>
      </c>
      <c r="H16" s="3">
        <v>216237.35</v>
      </c>
      <c r="I16" s="84">
        <v>0</v>
      </c>
      <c r="J16" s="3">
        <v>0</v>
      </c>
      <c r="K16" s="20">
        <f t="shared" si="3"/>
        <v>65303.68</v>
      </c>
      <c r="L16" s="3">
        <v>0</v>
      </c>
      <c r="M16" s="84">
        <v>29632.28</v>
      </c>
      <c r="N16" s="84">
        <v>264.36</v>
      </c>
      <c r="O16" s="84">
        <v>0</v>
      </c>
      <c r="P16" s="84">
        <v>0</v>
      </c>
      <c r="Q16" s="84">
        <v>5500</v>
      </c>
      <c r="R16" s="3">
        <v>481.84</v>
      </c>
      <c r="S16" s="84">
        <v>182.13</v>
      </c>
      <c r="T16" s="3">
        <v>0</v>
      </c>
      <c r="U16" s="3">
        <v>0</v>
      </c>
      <c r="V16" s="84">
        <v>24.38</v>
      </c>
      <c r="W16" s="3">
        <v>0</v>
      </c>
      <c r="X16" s="20">
        <f t="shared" si="4"/>
        <v>5522.07</v>
      </c>
      <c r="Y16" s="85">
        <v>4241.22</v>
      </c>
      <c r="Z16" s="84">
        <v>0</v>
      </c>
      <c r="AA16" s="3">
        <v>0</v>
      </c>
      <c r="AB16" s="20">
        <f t="shared" si="5"/>
        <v>1280.8499999999999</v>
      </c>
      <c r="AC16" s="84"/>
      <c r="AD16" s="84">
        <v>987.87</v>
      </c>
      <c r="AE16" s="20">
        <f t="shared" si="6"/>
        <v>323.89999999999998</v>
      </c>
      <c r="AF16" s="84">
        <v>0</v>
      </c>
      <c r="AG16" s="3"/>
      <c r="AH16" s="3"/>
      <c r="AI16" s="3"/>
      <c r="AJ16" s="3"/>
      <c r="AK16" s="171"/>
      <c r="AL16" s="171"/>
      <c r="AM16" s="55"/>
      <c r="AN16" s="55"/>
      <c r="AO16" s="80">
        <v>323871.60258575866</v>
      </c>
      <c r="AP16" s="80">
        <f t="shared" si="8"/>
        <v>2.5857585715129972E-3</v>
      </c>
      <c r="AR16" s="184">
        <f t="shared" si="7"/>
        <v>1</v>
      </c>
    </row>
    <row r="17" spans="1:44" ht="78.75" x14ac:dyDescent="0.25">
      <c r="A17" s="169" t="s">
        <v>44</v>
      </c>
      <c r="B17" s="139" t="s">
        <v>36</v>
      </c>
      <c r="C17" s="139" t="s">
        <v>37</v>
      </c>
      <c r="D17" s="139" t="s">
        <v>45</v>
      </c>
      <c r="E17" s="122">
        <v>30801</v>
      </c>
      <c r="F17" s="80">
        <f t="shared" si="1"/>
        <v>3086.2000000000003</v>
      </c>
      <c r="G17" s="80">
        <f t="shared" si="2"/>
        <v>1246.3499999999999</v>
      </c>
      <c r="H17" s="3">
        <v>957.26</v>
      </c>
      <c r="I17" s="84">
        <v>0</v>
      </c>
      <c r="J17" s="3">
        <v>0</v>
      </c>
      <c r="K17" s="20">
        <f t="shared" si="3"/>
        <v>289.08999999999997</v>
      </c>
      <c r="L17" s="3">
        <v>0</v>
      </c>
      <c r="M17" s="84">
        <v>324.72000000000003</v>
      </c>
      <c r="N17" s="84">
        <v>73.47</v>
      </c>
      <c r="O17" s="84">
        <v>56.72</v>
      </c>
      <c r="P17" s="84">
        <v>0</v>
      </c>
      <c r="Q17" s="84">
        <v>71.53</v>
      </c>
      <c r="R17" s="3">
        <v>85.93</v>
      </c>
      <c r="S17" s="84">
        <v>330.2</v>
      </c>
      <c r="T17" s="3">
        <v>52.77</v>
      </c>
      <c r="U17" s="3">
        <v>0</v>
      </c>
      <c r="V17" s="84">
        <v>11.19</v>
      </c>
      <c r="W17" s="3">
        <v>0</v>
      </c>
      <c r="X17" s="20">
        <f t="shared" si="4"/>
        <v>955.32</v>
      </c>
      <c r="Y17" s="85">
        <v>733.73</v>
      </c>
      <c r="Z17" s="84">
        <v>0</v>
      </c>
      <c r="AA17" s="3">
        <v>0</v>
      </c>
      <c r="AB17" s="20">
        <f t="shared" si="5"/>
        <v>221.59</v>
      </c>
      <c r="AC17" s="84"/>
      <c r="AD17" s="168">
        <f>21.11-12.92</f>
        <v>8.19</v>
      </c>
      <c r="AE17" s="20">
        <f t="shared" si="6"/>
        <v>95058</v>
      </c>
      <c r="AF17" s="173">
        <v>398.4</v>
      </c>
      <c r="AG17" s="3">
        <f>SUM(AE17:AF19)</f>
        <v>98465.5</v>
      </c>
      <c r="AH17" s="3">
        <v>98465.5</v>
      </c>
      <c r="AI17" s="5">
        <f>AH17-AG17</f>
        <v>0</v>
      </c>
      <c r="AJ17">
        <f>AI17*1000/E17</f>
        <v>0</v>
      </c>
      <c r="AK17" s="171">
        <v>98465.099999999991</v>
      </c>
      <c r="AL17" s="171">
        <f>AG17-AK17</f>
        <v>0.40000000000873115</v>
      </c>
      <c r="AM17" s="55"/>
      <c r="AN17" s="55"/>
      <c r="AO17" s="80">
        <v>4801.461756996745</v>
      </c>
      <c r="AP17" s="156">
        <f t="shared" si="8"/>
        <v>1715.2617569967447</v>
      </c>
      <c r="AQ17" s="167" t="s">
        <v>99</v>
      </c>
      <c r="AR17" s="184">
        <f t="shared" si="7"/>
        <v>1</v>
      </c>
    </row>
    <row r="18" spans="1:44" ht="63" x14ac:dyDescent="0.25">
      <c r="A18" s="169" t="s">
        <v>44</v>
      </c>
      <c r="B18" s="139" t="s">
        <v>39</v>
      </c>
      <c r="C18" s="139" t="s">
        <v>40</v>
      </c>
      <c r="D18" s="139" t="s">
        <v>45</v>
      </c>
      <c r="E18" s="122">
        <v>150</v>
      </c>
      <c r="F18" s="80">
        <f t="shared" si="1"/>
        <v>20060.52</v>
      </c>
      <c r="G18" s="80">
        <f t="shared" si="2"/>
        <v>12561.7</v>
      </c>
      <c r="H18" s="3">
        <v>9648</v>
      </c>
      <c r="I18" s="84">
        <v>0</v>
      </c>
      <c r="J18" s="3">
        <v>0</v>
      </c>
      <c r="K18" s="20">
        <f t="shared" si="3"/>
        <v>2913.7</v>
      </c>
      <c r="L18" s="3">
        <v>0</v>
      </c>
      <c r="M18" s="84">
        <v>700.4</v>
      </c>
      <c r="N18" s="84">
        <v>0</v>
      </c>
      <c r="O18" s="84">
        <v>487.07</v>
      </c>
      <c r="P18" s="84">
        <v>0</v>
      </c>
      <c r="Q18" s="84">
        <v>522.66999999999996</v>
      </c>
      <c r="R18" s="3">
        <v>410.47</v>
      </c>
      <c r="S18" s="84">
        <v>1291.3499999999999</v>
      </c>
      <c r="T18" s="3">
        <v>0</v>
      </c>
      <c r="U18" s="3">
        <v>0</v>
      </c>
      <c r="V18" s="84">
        <v>137.66999999999999</v>
      </c>
      <c r="W18" s="3">
        <v>0</v>
      </c>
      <c r="X18" s="20">
        <f t="shared" si="4"/>
        <v>3290.2599999999998</v>
      </c>
      <c r="Y18" s="85">
        <v>2527.08</v>
      </c>
      <c r="Z18" s="84">
        <v>0</v>
      </c>
      <c r="AA18" s="3">
        <v>0</v>
      </c>
      <c r="AB18" s="20">
        <f t="shared" si="5"/>
        <v>763.18</v>
      </c>
      <c r="AC18" s="84"/>
      <c r="AD18" s="168">
        <f>1146.67-0.67</f>
        <v>1146</v>
      </c>
      <c r="AE18" s="20">
        <f t="shared" si="6"/>
        <v>3009.1</v>
      </c>
      <c r="AF18" s="84">
        <v>0</v>
      </c>
      <c r="AG18" s="3"/>
      <c r="AH18" s="3"/>
      <c r="AI18" s="3"/>
      <c r="AJ18">
        <f>AI17*1000/E18</f>
        <v>0</v>
      </c>
      <c r="AK18" s="171"/>
      <c r="AL18" s="171"/>
      <c r="AM18" s="55"/>
      <c r="AN18" s="55"/>
      <c r="AO18" s="80">
        <v>23640.800542371471</v>
      </c>
      <c r="AP18" s="156">
        <f t="shared" si="8"/>
        <v>3580.2805423714708</v>
      </c>
      <c r="AQ18" s="167" t="s">
        <v>99</v>
      </c>
      <c r="AR18" s="184">
        <f t="shared" si="7"/>
        <v>2</v>
      </c>
    </row>
    <row r="19" spans="1:44" ht="47.25" x14ac:dyDescent="0.25">
      <c r="A19" s="123" t="s">
        <v>44</v>
      </c>
      <c r="B19" s="139" t="s">
        <v>41</v>
      </c>
      <c r="C19" s="139" t="s">
        <v>42</v>
      </c>
      <c r="D19" s="139" t="s">
        <v>38</v>
      </c>
      <c r="E19" s="122">
        <v>0</v>
      </c>
      <c r="F19" s="80">
        <f t="shared" si="1"/>
        <v>0</v>
      </c>
      <c r="G19" s="80">
        <f t="shared" si="2"/>
        <v>0</v>
      </c>
      <c r="H19" s="3">
        <v>0</v>
      </c>
      <c r="I19" s="84">
        <v>0</v>
      </c>
      <c r="J19" s="3">
        <v>0</v>
      </c>
      <c r="K19" s="20">
        <f t="shared" si="3"/>
        <v>0</v>
      </c>
      <c r="L19" s="3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3">
        <v>0</v>
      </c>
      <c r="S19" s="84">
        <v>0</v>
      </c>
      <c r="T19" s="3">
        <v>0</v>
      </c>
      <c r="U19" s="3">
        <v>0</v>
      </c>
      <c r="V19" s="84">
        <v>0</v>
      </c>
      <c r="W19" s="3">
        <v>0</v>
      </c>
      <c r="X19" s="20">
        <f t="shared" si="4"/>
        <v>0</v>
      </c>
      <c r="Y19" s="85">
        <v>0</v>
      </c>
      <c r="Z19" s="84">
        <v>0</v>
      </c>
      <c r="AA19" s="3">
        <v>0</v>
      </c>
      <c r="AB19" s="20">
        <f t="shared" si="5"/>
        <v>0</v>
      </c>
      <c r="AC19" s="84"/>
      <c r="AD19" s="84">
        <v>0</v>
      </c>
      <c r="AE19" s="20">
        <f t="shared" si="6"/>
        <v>0</v>
      </c>
      <c r="AF19" s="84">
        <v>0</v>
      </c>
      <c r="AG19" s="3"/>
      <c r="AH19" s="3"/>
      <c r="AI19" s="3"/>
      <c r="AJ19" s="3"/>
      <c r="AK19" s="171"/>
      <c r="AL19" s="171"/>
      <c r="AM19" s="55"/>
      <c r="AN19" s="55"/>
      <c r="AO19" s="80">
        <v>0</v>
      </c>
      <c r="AP19" s="80">
        <f t="shared" si="8"/>
        <v>0</v>
      </c>
      <c r="AR19" s="184" t="e">
        <f t="shared" si="7"/>
        <v>#VALUE!</v>
      </c>
    </row>
    <row r="20" spans="1:44" ht="78.75" x14ac:dyDescent="0.25">
      <c r="A20" s="169" t="s">
        <v>46</v>
      </c>
      <c r="B20" s="141" t="s">
        <v>36</v>
      </c>
      <c r="C20" s="139" t="s">
        <v>37</v>
      </c>
      <c r="D20" s="141" t="s">
        <v>45</v>
      </c>
      <c r="E20" s="122">
        <v>10376</v>
      </c>
      <c r="F20" s="80">
        <f t="shared" si="1"/>
        <v>8592.6299999999992</v>
      </c>
      <c r="G20" s="80">
        <f t="shared" si="2"/>
        <v>4810.28</v>
      </c>
      <c r="H20" s="3">
        <v>3640.92</v>
      </c>
      <c r="I20" s="84">
        <v>0</v>
      </c>
      <c r="J20" s="3">
        <v>0</v>
      </c>
      <c r="K20" s="20">
        <f t="shared" si="3"/>
        <v>1099.56</v>
      </c>
      <c r="L20" s="3">
        <v>69.8</v>
      </c>
      <c r="M20" s="84">
        <v>751.83</v>
      </c>
      <c r="N20" s="84">
        <v>157.36000000000001</v>
      </c>
      <c r="O20" s="84">
        <v>20.66</v>
      </c>
      <c r="P20" s="84">
        <v>0</v>
      </c>
      <c r="Q20" s="84">
        <v>0</v>
      </c>
      <c r="R20" s="3">
        <v>287.26</v>
      </c>
      <c r="S20" s="84">
        <v>469.01</v>
      </c>
      <c r="T20" s="3">
        <v>598.46</v>
      </c>
      <c r="U20" s="3">
        <v>0</v>
      </c>
      <c r="V20" s="84">
        <v>9.66</v>
      </c>
      <c r="W20" s="3">
        <v>0</v>
      </c>
      <c r="X20" s="20">
        <f t="shared" si="4"/>
        <v>1610.6499999999999</v>
      </c>
      <c r="Y20" s="85">
        <v>1237.06</v>
      </c>
      <c r="Z20" s="84">
        <v>0</v>
      </c>
      <c r="AA20" s="3">
        <v>0</v>
      </c>
      <c r="AB20" s="20">
        <f t="shared" si="5"/>
        <v>373.59</v>
      </c>
      <c r="AC20" s="84"/>
      <c r="AD20" s="168">
        <f>60.26-4.78</f>
        <v>55.48</v>
      </c>
      <c r="AE20" s="20">
        <f t="shared" si="6"/>
        <v>89157.1</v>
      </c>
      <c r="AF20" s="173">
        <v>93.5</v>
      </c>
      <c r="AG20" s="3">
        <f>SUM(AE20:AF22)</f>
        <v>90143</v>
      </c>
      <c r="AH20" s="3">
        <v>90143</v>
      </c>
      <c r="AI20" s="5">
        <f>AH20-AG20</f>
        <v>0</v>
      </c>
      <c r="AJ20">
        <f>AI20*1000/E20</f>
        <v>0</v>
      </c>
      <c r="AK20" s="171">
        <v>90142.544299999296</v>
      </c>
      <c r="AL20" s="171">
        <f>AG20-AK20</f>
        <v>0.45570000070438255</v>
      </c>
      <c r="AM20" s="55"/>
      <c r="AN20" s="55"/>
      <c r="AO20" s="80">
        <v>8597.4148637073176</v>
      </c>
      <c r="AP20" s="80">
        <f t="shared" si="8"/>
        <v>4.7848637073184364</v>
      </c>
      <c r="AR20" s="184">
        <f t="shared" si="7"/>
        <v>2</v>
      </c>
    </row>
    <row r="21" spans="1:44" ht="63" x14ac:dyDescent="0.25">
      <c r="A21" s="169" t="s">
        <v>46</v>
      </c>
      <c r="B21" s="141" t="s">
        <v>39</v>
      </c>
      <c r="C21" s="139" t="s">
        <v>40</v>
      </c>
      <c r="D21" s="141" t="s">
        <v>45</v>
      </c>
      <c r="E21" s="122">
        <v>38</v>
      </c>
      <c r="F21" s="80">
        <f t="shared" si="1"/>
        <v>23484.61</v>
      </c>
      <c r="G21" s="80">
        <f t="shared" si="2"/>
        <v>12084.92</v>
      </c>
      <c r="H21" s="5">
        <v>8744.31</v>
      </c>
      <c r="I21" s="164">
        <v>0</v>
      </c>
      <c r="J21" s="5">
        <v>0</v>
      </c>
      <c r="K21" s="80">
        <f t="shared" si="3"/>
        <v>2640.78</v>
      </c>
      <c r="L21" s="5">
        <v>699.83</v>
      </c>
      <c r="M21" s="164">
        <v>528.76</v>
      </c>
      <c r="N21" s="84">
        <v>394.74</v>
      </c>
      <c r="O21" s="84">
        <v>0</v>
      </c>
      <c r="P21" s="84">
        <v>0</v>
      </c>
      <c r="Q21" s="84">
        <v>1997.38</v>
      </c>
      <c r="R21" s="3">
        <v>0</v>
      </c>
      <c r="S21" s="84">
        <v>0</v>
      </c>
      <c r="T21" s="3">
        <v>0</v>
      </c>
      <c r="U21" s="3">
        <v>0</v>
      </c>
      <c r="V21" s="84">
        <v>38.380000000000003</v>
      </c>
      <c r="W21" s="3">
        <v>0</v>
      </c>
      <c r="X21" s="20">
        <f t="shared" si="4"/>
        <v>8177.2800000000007</v>
      </c>
      <c r="Y21" s="85">
        <v>6280.55</v>
      </c>
      <c r="Z21" s="84">
        <v>0</v>
      </c>
      <c r="AA21" s="3">
        <v>0</v>
      </c>
      <c r="AB21" s="20">
        <f t="shared" si="5"/>
        <v>1896.73</v>
      </c>
      <c r="AC21" s="84"/>
      <c r="AD21" s="84">
        <v>657.89</v>
      </c>
      <c r="AE21" s="20">
        <f t="shared" si="6"/>
        <v>892.4</v>
      </c>
      <c r="AF21" s="84">
        <v>0</v>
      </c>
      <c r="AG21" s="3"/>
      <c r="AH21" s="3"/>
      <c r="AI21" s="3"/>
      <c r="AJ21" s="3"/>
      <c r="AK21" s="171"/>
      <c r="AL21" s="171"/>
      <c r="AM21" s="55"/>
      <c r="AN21" s="55"/>
      <c r="AO21" s="80">
        <v>23484.622240579942</v>
      </c>
      <c r="AP21" s="80">
        <f t="shared" si="8"/>
        <v>1.2240579941135366E-2</v>
      </c>
      <c r="AR21" s="184">
        <f t="shared" si="7"/>
        <v>2</v>
      </c>
    </row>
    <row r="22" spans="1:44" ht="47.25" x14ac:dyDescent="0.25">
      <c r="A22" s="123" t="s">
        <v>46</v>
      </c>
      <c r="B22" s="139" t="s">
        <v>41</v>
      </c>
      <c r="C22" s="139" t="s">
        <v>42</v>
      </c>
      <c r="D22" s="141" t="s">
        <v>38</v>
      </c>
      <c r="E22" s="122">
        <v>0</v>
      </c>
      <c r="F22" s="80">
        <f t="shared" si="1"/>
        <v>0</v>
      </c>
      <c r="G22" s="80">
        <f t="shared" si="2"/>
        <v>0</v>
      </c>
      <c r="H22" s="3">
        <v>0</v>
      </c>
      <c r="I22" s="84">
        <v>0</v>
      </c>
      <c r="J22" s="3">
        <v>0</v>
      </c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3">
        <v>0</v>
      </c>
      <c r="S22" s="84">
        <v>0</v>
      </c>
      <c r="T22" s="3">
        <v>0</v>
      </c>
      <c r="U22" s="3">
        <v>0</v>
      </c>
      <c r="V22" s="84">
        <v>0</v>
      </c>
      <c r="W22" s="3">
        <v>0</v>
      </c>
      <c r="X22" s="20">
        <f t="shared" si="4"/>
        <v>0</v>
      </c>
      <c r="Y22" s="85">
        <v>0</v>
      </c>
      <c r="Z22" s="84">
        <v>0</v>
      </c>
      <c r="AA22" s="3">
        <v>0</v>
      </c>
      <c r="AB22" s="20">
        <f t="shared" si="5"/>
        <v>0</v>
      </c>
      <c r="AC22" s="84"/>
      <c r="AD22" s="84">
        <v>0</v>
      </c>
      <c r="AE22" s="20">
        <f t="shared" si="6"/>
        <v>0</v>
      </c>
      <c r="AF22" s="84">
        <v>0</v>
      </c>
      <c r="AG22" s="3"/>
      <c r="AH22" s="3"/>
      <c r="AI22" s="3"/>
      <c r="AJ22" s="3"/>
      <c r="AK22" s="171"/>
      <c r="AL22" s="171"/>
      <c r="AM22" s="55"/>
      <c r="AN22" s="55"/>
      <c r="AO22" s="80">
        <v>0</v>
      </c>
      <c r="AP22" s="80">
        <f t="shared" si="8"/>
        <v>0</v>
      </c>
      <c r="AR22" s="184" t="e">
        <f t="shared" si="7"/>
        <v>#VALUE!</v>
      </c>
    </row>
    <row r="23" spans="1:44" ht="78.75" x14ac:dyDescent="0.25">
      <c r="A23" s="123" t="s">
        <v>47</v>
      </c>
      <c r="B23" s="139" t="s">
        <v>36</v>
      </c>
      <c r="C23" s="139" t="s">
        <v>37</v>
      </c>
      <c r="D23" s="142" t="s">
        <v>38</v>
      </c>
      <c r="E23" s="143">
        <v>18230</v>
      </c>
      <c r="F23" s="80">
        <f t="shared" si="1"/>
        <v>5925.2099999999991</v>
      </c>
      <c r="G23" s="80">
        <f t="shared" si="2"/>
        <v>3485.0899999999997</v>
      </c>
      <c r="H23" s="20">
        <v>2676.72</v>
      </c>
      <c r="I23" s="25">
        <v>0</v>
      </c>
      <c r="J23" s="25">
        <v>0</v>
      </c>
      <c r="K23" s="20">
        <f t="shared" si="3"/>
        <v>808.37</v>
      </c>
      <c r="L23" s="25">
        <v>0</v>
      </c>
      <c r="M23" s="21">
        <v>725.56</v>
      </c>
      <c r="N23" s="25">
        <v>160.72</v>
      </c>
      <c r="O23" s="25">
        <v>38.21</v>
      </c>
      <c r="P23" s="26">
        <v>0</v>
      </c>
      <c r="Q23" s="25">
        <v>255.07</v>
      </c>
      <c r="R23" s="25">
        <v>175.38</v>
      </c>
      <c r="S23" s="25">
        <v>295.02</v>
      </c>
      <c r="T23" s="25">
        <v>9</v>
      </c>
      <c r="U23" s="20">
        <v>0</v>
      </c>
      <c r="V23" s="25">
        <v>24.46</v>
      </c>
      <c r="W23" s="25">
        <v>45.45</v>
      </c>
      <c r="X23" s="20">
        <f t="shared" si="4"/>
        <v>895.13</v>
      </c>
      <c r="Y23" s="27">
        <v>687.5</v>
      </c>
      <c r="Z23" s="27">
        <v>0</v>
      </c>
      <c r="AA23" s="27">
        <v>0</v>
      </c>
      <c r="AB23" s="20">
        <f t="shared" si="5"/>
        <v>207.63</v>
      </c>
      <c r="AC23" s="25">
        <v>0</v>
      </c>
      <c r="AD23" s="176">
        <f>24.05-9</f>
        <v>15.05</v>
      </c>
      <c r="AE23" s="20">
        <f t="shared" si="6"/>
        <v>108016.6</v>
      </c>
      <c r="AF23" s="174">
        <v>324.3</v>
      </c>
      <c r="AG23" s="237">
        <f>ROUND(AE23+AE24+AE25+AF23,1)</f>
        <v>115094.9</v>
      </c>
      <c r="AH23" s="3">
        <v>115094.9</v>
      </c>
      <c r="AI23" s="5">
        <f>AH23-AG23</f>
        <v>0</v>
      </c>
      <c r="AJ23">
        <f>AI23*1000/E23</f>
        <v>0</v>
      </c>
      <c r="AK23" s="171">
        <v>115094.8</v>
      </c>
      <c r="AL23" s="171">
        <f>AG23-AK23</f>
        <v>9.9999999991268851E-2</v>
      </c>
      <c r="AM23" s="47">
        <f t="shared" ref="AM23:AM25" si="11">(G23+X23)*E23/1000</f>
        <v>79851.410599999988</v>
      </c>
      <c r="AN23" s="55">
        <v>80329.582241999989</v>
      </c>
      <c r="AO23" s="80">
        <v>5934.1985698679437</v>
      </c>
      <c r="AP23" s="80">
        <f t="shared" si="8"/>
        <v>8.9885698679445341</v>
      </c>
      <c r="AR23" s="184">
        <f t="shared" si="7"/>
        <v>2</v>
      </c>
    </row>
    <row r="24" spans="1:44" ht="63" x14ac:dyDescent="0.25">
      <c r="A24" s="123" t="s">
        <v>47</v>
      </c>
      <c r="B24" s="139" t="s">
        <v>39</v>
      </c>
      <c r="C24" s="139" t="s">
        <v>40</v>
      </c>
      <c r="D24" s="142" t="s">
        <v>38</v>
      </c>
      <c r="E24" s="143">
        <v>220</v>
      </c>
      <c r="F24" s="80">
        <f t="shared" si="1"/>
        <v>16045.209999999995</v>
      </c>
      <c r="G24" s="80">
        <f t="shared" si="2"/>
        <v>11247.929999999998</v>
      </c>
      <c r="H24" s="20">
        <v>8638.9599999999991</v>
      </c>
      <c r="I24" s="25">
        <v>0</v>
      </c>
      <c r="J24" s="25">
        <v>0</v>
      </c>
      <c r="K24" s="20">
        <f t="shared" si="3"/>
        <v>2608.9699999999998</v>
      </c>
      <c r="L24" s="25">
        <v>0</v>
      </c>
      <c r="M24" s="25">
        <v>1490.06</v>
      </c>
      <c r="N24" s="25">
        <v>0</v>
      </c>
      <c r="O24" s="25">
        <v>0</v>
      </c>
      <c r="P24" s="26">
        <v>0</v>
      </c>
      <c r="Q24" s="25">
        <v>1847.73</v>
      </c>
      <c r="R24" s="25">
        <v>175.38</v>
      </c>
      <c r="S24" s="25">
        <v>295.02</v>
      </c>
      <c r="T24" s="25">
        <v>0</v>
      </c>
      <c r="U24" s="20">
        <v>0</v>
      </c>
      <c r="V24" s="25">
        <v>24.46</v>
      </c>
      <c r="W24" s="25">
        <v>45.45</v>
      </c>
      <c r="X24" s="20">
        <f t="shared" si="4"/>
        <v>895.13</v>
      </c>
      <c r="Y24" s="27">
        <v>687.5</v>
      </c>
      <c r="Z24" s="27">
        <v>0</v>
      </c>
      <c r="AA24" s="27">
        <v>0</v>
      </c>
      <c r="AB24" s="20">
        <f t="shared" si="5"/>
        <v>207.63</v>
      </c>
      <c r="AC24" s="25">
        <v>0</v>
      </c>
      <c r="AD24" s="25">
        <v>24.05</v>
      </c>
      <c r="AE24" s="20">
        <f t="shared" si="6"/>
        <v>3529.9</v>
      </c>
      <c r="AF24" s="160">
        <v>0</v>
      </c>
      <c r="AG24" s="237"/>
      <c r="AH24" s="3"/>
      <c r="AI24" s="3"/>
      <c r="AJ24" s="3"/>
      <c r="AK24" s="171"/>
      <c r="AL24" s="171"/>
      <c r="AM24" s="47">
        <f t="shared" si="11"/>
        <v>2671.4731999999995</v>
      </c>
      <c r="AN24" s="55">
        <v>2678.9424660000004</v>
      </c>
      <c r="AO24" s="80">
        <v>16045.207170865799</v>
      </c>
      <c r="AP24" s="80">
        <f t="shared" si="8"/>
        <v>-2.8291341968724737E-3</v>
      </c>
      <c r="AR24" s="184">
        <f t="shared" si="7"/>
        <v>2</v>
      </c>
    </row>
    <row r="25" spans="1:44" ht="45" x14ac:dyDescent="0.25">
      <c r="A25" s="123" t="s">
        <v>47</v>
      </c>
      <c r="B25" s="139" t="s">
        <v>41</v>
      </c>
      <c r="C25" s="140" t="s">
        <v>42</v>
      </c>
      <c r="D25" s="142" t="s">
        <v>38</v>
      </c>
      <c r="E25" s="143">
        <v>30</v>
      </c>
      <c r="F25" s="80">
        <f t="shared" si="1"/>
        <v>107471.55000000003</v>
      </c>
      <c r="G25" s="80">
        <f t="shared" si="2"/>
        <v>78950.510000000009</v>
      </c>
      <c r="H25" s="20">
        <v>60637.87</v>
      </c>
      <c r="I25" s="20">
        <v>0</v>
      </c>
      <c r="J25" s="20">
        <v>0</v>
      </c>
      <c r="K25" s="20">
        <f t="shared" si="3"/>
        <v>18312.64</v>
      </c>
      <c r="L25" s="20">
        <v>0</v>
      </c>
      <c r="M25" s="20">
        <v>2311.5500000000002</v>
      </c>
      <c r="N25" s="20">
        <v>0</v>
      </c>
      <c r="O25" s="20">
        <v>0</v>
      </c>
      <c r="P25" s="20">
        <v>0</v>
      </c>
      <c r="Q25" s="20">
        <v>24750</v>
      </c>
      <c r="R25" s="20">
        <v>175.38</v>
      </c>
      <c r="S25" s="20">
        <v>295.02</v>
      </c>
      <c r="T25" s="20">
        <v>0</v>
      </c>
      <c r="U25" s="20">
        <v>0</v>
      </c>
      <c r="V25" s="20">
        <v>24.46</v>
      </c>
      <c r="W25" s="27">
        <v>45.45</v>
      </c>
      <c r="X25" s="20">
        <f t="shared" si="4"/>
        <v>895.13</v>
      </c>
      <c r="Y25" s="27">
        <v>687.5</v>
      </c>
      <c r="Z25" s="20">
        <v>0</v>
      </c>
      <c r="AA25" s="20">
        <v>0</v>
      </c>
      <c r="AB25" s="20">
        <f t="shared" si="5"/>
        <v>207.63</v>
      </c>
      <c r="AC25" s="25">
        <v>0</v>
      </c>
      <c r="AD25" s="25">
        <v>24.05</v>
      </c>
      <c r="AE25" s="20">
        <f t="shared" si="6"/>
        <v>3224.1</v>
      </c>
      <c r="AF25" s="91">
        <v>0</v>
      </c>
      <c r="AG25" s="237"/>
      <c r="AH25" s="3"/>
      <c r="AI25" s="3"/>
      <c r="AJ25" s="3"/>
      <c r="AK25" s="171"/>
      <c r="AL25" s="171"/>
      <c r="AM25" s="47">
        <f t="shared" si="11"/>
        <v>2395.3692000000001</v>
      </c>
      <c r="AN25" s="55">
        <v>2332.5985570000003</v>
      </c>
      <c r="AO25" s="80">
        <v>107471.54503722943</v>
      </c>
      <c r="AP25" s="80">
        <f t="shared" si="8"/>
        <v>-4.9627706030150875E-3</v>
      </c>
      <c r="AR25" s="184">
        <f t="shared" si="7"/>
        <v>2</v>
      </c>
    </row>
    <row r="26" spans="1:44" ht="78.75" x14ac:dyDescent="0.25">
      <c r="A26" s="169" t="s">
        <v>48</v>
      </c>
      <c r="B26" s="139" t="s">
        <v>49</v>
      </c>
      <c r="C26" s="139" t="s">
        <v>37</v>
      </c>
      <c r="D26" s="58" t="s">
        <v>38</v>
      </c>
      <c r="E26" s="122">
        <v>22657</v>
      </c>
      <c r="F26" s="80">
        <f t="shared" si="1"/>
        <v>4657.74</v>
      </c>
      <c r="G26" s="80">
        <f t="shared" si="2"/>
        <v>2225.4</v>
      </c>
      <c r="H26" s="3">
        <v>1709.22</v>
      </c>
      <c r="I26" s="84"/>
      <c r="J26" s="3"/>
      <c r="K26" s="20">
        <f t="shared" si="3"/>
        <v>516.17999999999995</v>
      </c>
      <c r="L26" s="3"/>
      <c r="M26" s="84">
        <v>376.81</v>
      </c>
      <c r="N26" s="84">
        <v>0</v>
      </c>
      <c r="O26" s="84">
        <v>46.11</v>
      </c>
      <c r="P26" s="84">
        <v>0</v>
      </c>
      <c r="Q26" s="84">
        <v>160.76</v>
      </c>
      <c r="R26" s="3">
        <v>50.62</v>
      </c>
      <c r="S26" s="84">
        <v>418.69</v>
      </c>
      <c r="T26" s="3">
        <v>20.2</v>
      </c>
      <c r="U26" s="3">
        <v>0</v>
      </c>
      <c r="V26" s="84">
        <v>14.62</v>
      </c>
      <c r="W26" s="3">
        <v>0</v>
      </c>
      <c r="X26" s="20">
        <f t="shared" si="4"/>
        <v>1221.8600000000001</v>
      </c>
      <c r="Y26" s="85">
        <v>938.45</v>
      </c>
      <c r="Z26" s="84"/>
      <c r="AA26" s="3"/>
      <c r="AB26" s="20">
        <f t="shared" si="5"/>
        <v>283.41000000000003</v>
      </c>
      <c r="AC26" s="84"/>
      <c r="AD26" s="168">
        <f>169.5-0.72</f>
        <v>168.78</v>
      </c>
      <c r="AE26" s="20">
        <f t="shared" si="6"/>
        <v>105530.4</v>
      </c>
      <c r="AF26" s="173">
        <v>656.9</v>
      </c>
      <c r="AG26" s="237">
        <f>ROUND(AE26+AE27+AE28+AF26,1)</f>
        <v>106749.8</v>
      </c>
      <c r="AH26" s="3">
        <v>106749.8</v>
      </c>
      <c r="AI26" s="5">
        <f>AH26-AG26</f>
        <v>0</v>
      </c>
      <c r="AJ26">
        <f>AI26*1000/E26</f>
        <v>0</v>
      </c>
      <c r="AK26" s="171">
        <v>106749.82822000001</v>
      </c>
      <c r="AL26" s="171">
        <f>AG26-AK26</f>
        <v>-2.8220000007422641E-2</v>
      </c>
      <c r="AM26" s="55"/>
      <c r="AN26" s="55"/>
      <c r="AO26" s="80">
        <v>4658.46</v>
      </c>
      <c r="AP26" s="156">
        <f t="shared" si="8"/>
        <v>0.72000000000025466</v>
      </c>
      <c r="AR26" s="184">
        <f t="shared" si="7"/>
        <v>2</v>
      </c>
    </row>
    <row r="27" spans="1:44" ht="63" x14ac:dyDescent="0.25">
      <c r="A27" s="169" t="s">
        <v>48</v>
      </c>
      <c r="B27" s="139" t="s">
        <v>50</v>
      </c>
      <c r="C27" s="139" t="s">
        <v>40</v>
      </c>
      <c r="D27" s="58" t="s">
        <v>38</v>
      </c>
      <c r="E27" s="121">
        <v>25</v>
      </c>
      <c r="F27" s="120">
        <f t="shared" si="1"/>
        <v>15426.37</v>
      </c>
      <c r="G27" s="80">
        <f t="shared" si="2"/>
        <v>11064.29</v>
      </c>
      <c r="H27" s="3">
        <v>8497.92</v>
      </c>
      <c r="I27" s="3">
        <v>0</v>
      </c>
      <c r="J27" s="3">
        <v>0</v>
      </c>
      <c r="K27" s="20">
        <f t="shared" si="3"/>
        <v>2566.37</v>
      </c>
      <c r="L27" s="3">
        <v>0</v>
      </c>
      <c r="M27" s="3">
        <v>1200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f>Y27+Z27+AA27+AB27+AC27</f>
        <v>0</v>
      </c>
      <c r="Y27" s="3">
        <v>0</v>
      </c>
      <c r="Z27" s="3">
        <v>0</v>
      </c>
      <c r="AA27" s="3">
        <v>0</v>
      </c>
      <c r="AB27" s="20">
        <f t="shared" si="5"/>
        <v>0</v>
      </c>
      <c r="AC27" s="3">
        <v>0</v>
      </c>
      <c r="AD27" s="181">
        <f>3166.08-4</f>
        <v>3162.08</v>
      </c>
      <c r="AE27" s="3">
        <f t="shared" si="6"/>
        <v>385.7</v>
      </c>
      <c r="AF27" s="84">
        <v>0</v>
      </c>
      <c r="AG27" s="237"/>
      <c r="AH27" s="3"/>
      <c r="AI27" s="3"/>
      <c r="AJ27">
        <f>AI26*1000/E27</f>
        <v>0</v>
      </c>
      <c r="AK27" s="171"/>
      <c r="AL27" s="171"/>
      <c r="AM27" s="55"/>
      <c r="AN27" s="55"/>
      <c r="AO27" s="80">
        <v>8386.07</v>
      </c>
      <c r="AP27" s="156">
        <f t="shared" si="8"/>
        <v>-7040.3000000000011</v>
      </c>
      <c r="AR27" s="184">
        <f t="shared" si="7"/>
        <v>2</v>
      </c>
    </row>
    <row r="28" spans="1:44" ht="45" x14ac:dyDescent="0.25">
      <c r="A28" s="169" t="s">
        <v>48</v>
      </c>
      <c r="B28" s="139" t="s">
        <v>41</v>
      </c>
      <c r="C28" s="140" t="s">
        <v>42</v>
      </c>
      <c r="D28" s="142" t="s">
        <v>38</v>
      </c>
      <c r="E28" s="122">
        <v>2</v>
      </c>
      <c r="F28" s="80">
        <f t="shared" si="1"/>
        <v>88406.28</v>
      </c>
      <c r="G28" s="80">
        <f t="shared" si="2"/>
        <v>65420.659999999996</v>
      </c>
      <c r="H28" s="3">
        <v>50246.28</v>
      </c>
      <c r="I28" s="84"/>
      <c r="J28" s="3"/>
      <c r="K28" s="20">
        <f t="shared" si="3"/>
        <v>15174.38</v>
      </c>
      <c r="L28" s="3"/>
      <c r="M28" s="84">
        <v>8833.33</v>
      </c>
      <c r="N28" s="84">
        <v>0</v>
      </c>
      <c r="O28" s="84">
        <v>8833.33</v>
      </c>
      <c r="P28" s="84">
        <v>0</v>
      </c>
      <c r="Q28" s="84">
        <v>500</v>
      </c>
      <c r="R28" s="3">
        <v>0</v>
      </c>
      <c r="S28" s="84">
        <v>0</v>
      </c>
      <c r="T28" s="3">
        <v>1066.69</v>
      </c>
      <c r="U28" s="3">
        <v>0</v>
      </c>
      <c r="V28" s="84">
        <v>0</v>
      </c>
      <c r="W28" s="3">
        <v>0</v>
      </c>
      <c r="X28" s="20">
        <f t="shared" si="4"/>
        <v>0</v>
      </c>
      <c r="Y28" s="85">
        <v>0</v>
      </c>
      <c r="Z28" s="84"/>
      <c r="AA28" s="3"/>
      <c r="AB28" s="20">
        <f t="shared" si="5"/>
        <v>0</v>
      </c>
      <c r="AC28" s="84"/>
      <c r="AD28" s="84">
        <v>12585.6</v>
      </c>
      <c r="AE28" s="20">
        <f t="shared" si="6"/>
        <v>176.8</v>
      </c>
      <c r="AF28" s="84">
        <v>0</v>
      </c>
      <c r="AG28" s="237"/>
      <c r="AH28" s="3"/>
      <c r="AI28" s="3"/>
      <c r="AJ28" s="3"/>
      <c r="AK28" s="171"/>
      <c r="AL28" s="171"/>
      <c r="AM28" s="55"/>
      <c r="AN28" s="55"/>
      <c r="AO28" s="80">
        <v>88406.28</v>
      </c>
      <c r="AP28" s="156">
        <f t="shared" si="8"/>
        <v>0</v>
      </c>
      <c r="AR28" s="184">
        <f t="shared" si="7"/>
        <v>2</v>
      </c>
    </row>
    <row r="29" spans="1:44" ht="78.75" x14ac:dyDescent="0.25">
      <c r="A29" s="154" t="s">
        <v>51</v>
      </c>
      <c r="B29" s="139" t="s">
        <v>49</v>
      </c>
      <c r="C29" s="139" t="s">
        <v>37</v>
      </c>
      <c r="D29" s="144" t="s">
        <v>45</v>
      </c>
      <c r="E29" s="122">
        <v>31946</v>
      </c>
      <c r="F29" s="80">
        <f t="shared" si="1"/>
        <v>3277.9600000000005</v>
      </c>
      <c r="G29" s="80">
        <f t="shared" si="2"/>
        <v>1992.29</v>
      </c>
      <c r="H29" s="3">
        <v>1530.18</v>
      </c>
      <c r="I29" s="84">
        <v>0</v>
      </c>
      <c r="J29" s="3">
        <v>0</v>
      </c>
      <c r="K29" s="20">
        <f t="shared" si="3"/>
        <v>462.11</v>
      </c>
      <c r="L29" s="3">
        <v>0</v>
      </c>
      <c r="M29" s="84">
        <v>208.03</v>
      </c>
      <c r="N29" s="84">
        <v>13.73</v>
      </c>
      <c r="O29" s="84">
        <v>39.97</v>
      </c>
      <c r="P29" s="84">
        <v>0</v>
      </c>
      <c r="Q29" s="84">
        <v>104.17</v>
      </c>
      <c r="R29" s="3">
        <v>239.42</v>
      </c>
      <c r="S29" s="84">
        <v>209.9</v>
      </c>
      <c r="T29" s="3">
        <v>38.18</v>
      </c>
      <c r="U29" s="3">
        <v>0</v>
      </c>
      <c r="V29" s="84">
        <v>29.98</v>
      </c>
      <c r="W29" s="3">
        <v>0</v>
      </c>
      <c r="X29" s="20">
        <f t="shared" si="4"/>
        <v>454.48</v>
      </c>
      <c r="Y29" s="85">
        <v>349.06</v>
      </c>
      <c r="Z29" s="84">
        <v>0</v>
      </c>
      <c r="AA29" s="3">
        <v>0</v>
      </c>
      <c r="AB29" s="20">
        <f t="shared" si="5"/>
        <v>105.42</v>
      </c>
      <c r="AC29" s="84"/>
      <c r="AD29" s="168">
        <f>30.34-16.81-12.02</f>
        <v>1.5100000000000016</v>
      </c>
      <c r="AE29" s="20">
        <f t="shared" si="6"/>
        <v>104717.7</v>
      </c>
      <c r="AF29" s="173">
        <v>457</v>
      </c>
      <c r="AG29" s="237">
        <f>ROUND(AE29+AE30+AE31+AF29,1)</f>
        <v>105735.3</v>
      </c>
      <c r="AH29" s="3">
        <v>105735.3</v>
      </c>
      <c r="AI29" s="5">
        <f>AH29-AG29</f>
        <v>0</v>
      </c>
      <c r="AJ29">
        <f>AI29*1000/E29</f>
        <v>0</v>
      </c>
      <c r="AK29" s="171">
        <v>105735.30467840002</v>
      </c>
      <c r="AL29" s="171">
        <f>AG29-AK29</f>
        <v>-4.6784000151092187E-3</v>
      </c>
      <c r="AM29" s="55"/>
      <c r="AN29" s="55"/>
      <c r="AO29" s="80">
        <v>3291.3691700000004</v>
      </c>
      <c r="AP29" s="80">
        <f t="shared" si="8"/>
        <v>13.409169999999904</v>
      </c>
      <c r="AR29" s="184">
        <f t="shared" si="7"/>
        <v>2</v>
      </c>
    </row>
    <row r="30" spans="1:44" ht="63" x14ac:dyDescent="0.25">
      <c r="A30" s="154" t="s">
        <v>51</v>
      </c>
      <c r="B30" s="139" t="s">
        <v>50</v>
      </c>
      <c r="C30" s="139" t="s">
        <v>40</v>
      </c>
      <c r="D30" s="144" t="s">
        <v>45</v>
      </c>
      <c r="E30" s="122">
        <v>36</v>
      </c>
      <c r="F30" s="80">
        <f t="shared" si="1"/>
        <v>15572.210000000001</v>
      </c>
      <c r="G30" s="80">
        <f t="shared" si="2"/>
        <v>10522.2</v>
      </c>
      <c r="H30" s="3">
        <v>8081.57</v>
      </c>
      <c r="I30" s="84">
        <v>0</v>
      </c>
      <c r="J30" s="3">
        <v>0</v>
      </c>
      <c r="K30" s="20">
        <f t="shared" si="3"/>
        <v>2440.63</v>
      </c>
      <c r="L30" s="3">
        <v>0</v>
      </c>
      <c r="M30" s="84">
        <v>893.34</v>
      </c>
      <c r="N30" s="84">
        <v>0</v>
      </c>
      <c r="O30" s="84">
        <v>694.5</v>
      </c>
      <c r="P30" s="84">
        <v>0</v>
      </c>
      <c r="Q30" s="84">
        <v>101.18</v>
      </c>
      <c r="R30" s="3">
        <v>506.38</v>
      </c>
      <c r="S30" s="84">
        <v>547.55999999999995</v>
      </c>
      <c r="T30" s="3">
        <v>764.2</v>
      </c>
      <c r="U30" s="3">
        <v>0</v>
      </c>
      <c r="V30" s="84">
        <v>743.78</v>
      </c>
      <c r="W30" s="3">
        <v>0</v>
      </c>
      <c r="X30" s="20">
        <f t="shared" si="4"/>
        <v>1018.39</v>
      </c>
      <c r="Y30" s="85">
        <v>782.17</v>
      </c>
      <c r="Z30" s="84">
        <v>0</v>
      </c>
      <c r="AA30" s="3">
        <v>0</v>
      </c>
      <c r="AB30" s="20">
        <f t="shared" si="5"/>
        <v>236.22</v>
      </c>
      <c r="AC30" s="84"/>
      <c r="AD30" s="168">
        <f>475.19-2.78-2.78+5.55</f>
        <v>475.18000000000006</v>
      </c>
      <c r="AE30" s="20">
        <f t="shared" si="6"/>
        <v>560.6</v>
      </c>
      <c r="AF30" s="84">
        <v>0</v>
      </c>
      <c r="AG30" s="237"/>
      <c r="AH30" s="3"/>
      <c r="AI30" s="3"/>
      <c r="AJ30">
        <f>AI29*1000/E30</f>
        <v>0</v>
      </c>
      <c r="AK30" s="171"/>
      <c r="AL30" s="171"/>
      <c r="AM30" s="55"/>
      <c r="AN30" s="55"/>
      <c r="AO30" s="80">
        <v>14014.882250000001</v>
      </c>
      <c r="AP30" s="80">
        <f t="shared" si="8"/>
        <v>-1557.3277500000004</v>
      </c>
      <c r="AR30" s="184">
        <f t="shared" si="7"/>
        <v>2</v>
      </c>
    </row>
    <row r="31" spans="1:44" ht="45" x14ac:dyDescent="0.25">
      <c r="A31" s="154" t="s">
        <v>51</v>
      </c>
      <c r="B31" s="139" t="s">
        <v>41</v>
      </c>
      <c r="C31" s="140" t="s">
        <v>42</v>
      </c>
      <c r="D31" s="142" t="s">
        <v>38</v>
      </c>
      <c r="E31" s="122">
        <v>0</v>
      </c>
      <c r="F31" s="80">
        <f t="shared" si="1"/>
        <v>0</v>
      </c>
      <c r="G31" s="80">
        <f t="shared" si="2"/>
        <v>0</v>
      </c>
      <c r="H31" s="3">
        <v>0</v>
      </c>
      <c r="I31" s="84">
        <v>0</v>
      </c>
      <c r="J31" s="3">
        <v>0</v>
      </c>
      <c r="K31" s="20">
        <f t="shared" si="3"/>
        <v>0</v>
      </c>
      <c r="L31" s="3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3">
        <v>0</v>
      </c>
      <c r="S31" s="84">
        <v>0</v>
      </c>
      <c r="T31" s="3">
        <v>0</v>
      </c>
      <c r="U31" s="3">
        <v>0</v>
      </c>
      <c r="V31" s="84">
        <v>0</v>
      </c>
      <c r="W31" s="3">
        <v>0</v>
      </c>
      <c r="X31" s="20">
        <f t="shared" si="4"/>
        <v>0</v>
      </c>
      <c r="Y31" s="85">
        <v>0</v>
      </c>
      <c r="Z31" s="84">
        <v>0</v>
      </c>
      <c r="AA31" s="3">
        <v>0</v>
      </c>
      <c r="AB31" s="20">
        <f t="shared" si="5"/>
        <v>0</v>
      </c>
      <c r="AC31" s="84"/>
      <c r="AD31" s="84">
        <v>0</v>
      </c>
      <c r="AE31" s="20">
        <f t="shared" si="6"/>
        <v>0</v>
      </c>
      <c r="AF31" s="84">
        <v>0</v>
      </c>
      <c r="AG31" s="237"/>
      <c r="AH31" s="3"/>
      <c r="AI31" s="3"/>
      <c r="AJ31" s="3"/>
      <c r="AK31" s="171"/>
      <c r="AL31" s="171"/>
      <c r="AM31" s="55"/>
      <c r="AN31" s="55"/>
      <c r="AO31" s="80">
        <v>0</v>
      </c>
      <c r="AP31" s="80">
        <f t="shared" si="8"/>
        <v>0</v>
      </c>
      <c r="AR31" s="184" t="e">
        <f t="shared" si="7"/>
        <v>#VALUE!</v>
      </c>
    </row>
    <row r="32" spans="1:44" ht="78.75" x14ac:dyDescent="0.25">
      <c r="A32" s="123" t="s">
        <v>52</v>
      </c>
      <c r="B32" s="139" t="s">
        <v>36</v>
      </c>
      <c r="C32" s="139" t="s">
        <v>37</v>
      </c>
      <c r="D32" s="139" t="s">
        <v>53</v>
      </c>
      <c r="E32" s="122">
        <v>714</v>
      </c>
      <c r="F32" s="80">
        <f t="shared" si="1"/>
        <v>6904.3300000000008</v>
      </c>
      <c r="G32" s="80">
        <f t="shared" si="2"/>
        <v>2320.0100000000002</v>
      </c>
      <c r="H32" s="3">
        <v>1781.88</v>
      </c>
      <c r="I32" s="84">
        <v>0</v>
      </c>
      <c r="J32" s="3">
        <v>0</v>
      </c>
      <c r="K32" s="20">
        <f t="shared" si="3"/>
        <v>538.13</v>
      </c>
      <c r="L32" s="3">
        <v>0</v>
      </c>
      <c r="M32" s="84">
        <v>469.07</v>
      </c>
      <c r="N32" s="84">
        <v>0</v>
      </c>
      <c r="O32" s="84">
        <v>0</v>
      </c>
      <c r="P32" s="84">
        <v>0</v>
      </c>
      <c r="Q32" s="84">
        <v>874.46</v>
      </c>
      <c r="R32" s="3">
        <v>75.7</v>
      </c>
      <c r="S32" s="84">
        <v>1227.6300000000001</v>
      </c>
      <c r="T32" s="3">
        <v>0</v>
      </c>
      <c r="U32" s="3">
        <v>0</v>
      </c>
      <c r="V32" s="84">
        <v>11.16</v>
      </c>
      <c r="W32" s="3">
        <v>12.21</v>
      </c>
      <c r="X32" s="20">
        <f t="shared" si="4"/>
        <v>1802.23</v>
      </c>
      <c r="Y32" s="85">
        <v>1384.2</v>
      </c>
      <c r="Z32" s="84">
        <v>0</v>
      </c>
      <c r="AA32" s="3">
        <v>0</v>
      </c>
      <c r="AB32" s="20">
        <f t="shared" si="5"/>
        <v>418.03</v>
      </c>
      <c r="AC32" s="84"/>
      <c r="AD32" s="84">
        <v>111.86</v>
      </c>
      <c r="AE32" s="20">
        <f t="shared" si="6"/>
        <v>4929.7</v>
      </c>
      <c r="AF32" s="173">
        <v>456.3</v>
      </c>
      <c r="AG32" s="3">
        <f>SUM(AE32:AF33)</f>
        <v>9082.9</v>
      </c>
      <c r="AH32" s="3">
        <v>9082.9</v>
      </c>
      <c r="AI32" s="5">
        <f>AH32-AG32</f>
        <v>0</v>
      </c>
      <c r="AJ32">
        <f>AI32*1000/E32</f>
        <v>0</v>
      </c>
      <c r="AK32" s="171">
        <v>9083</v>
      </c>
      <c r="AL32" s="171">
        <f>AG32-AK32</f>
        <v>-0.1000000000003638</v>
      </c>
      <c r="AM32" s="55"/>
      <c r="AN32" s="55"/>
      <c r="AO32" s="80">
        <v>6904.3300000000008</v>
      </c>
      <c r="AP32" s="80">
        <f t="shared" si="8"/>
        <v>0</v>
      </c>
      <c r="AR32" s="184">
        <f t="shared" si="7"/>
        <v>2</v>
      </c>
    </row>
    <row r="33" spans="1:44" ht="63" x14ac:dyDescent="0.25">
      <c r="A33" s="123" t="s">
        <v>52</v>
      </c>
      <c r="B33" s="139" t="s">
        <v>39</v>
      </c>
      <c r="C33" s="139" t="s">
        <v>40</v>
      </c>
      <c r="D33" s="139" t="s">
        <v>53</v>
      </c>
      <c r="E33" s="122">
        <v>28</v>
      </c>
      <c r="F33" s="80">
        <f t="shared" si="1"/>
        <v>132030.53</v>
      </c>
      <c r="G33" s="80">
        <f t="shared" si="2"/>
        <v>53880.11</v>
      </c>
      <c r="H33" s="3">
        <v>41382.57</v>
      </c>
      <c r="I33" s="84">
        <v>0</v>
      </c>
      <c r="J33" s="3">
        <v>0</v>
      </c>
      <c r="K33" s="20">
        <f t="shared" si="3"/>
        <v>12497.54</v>
      </c>
      <c r="L33" s="3">
        <v>0</v>
      </c>
      <c r="M33" s="84">
        <v>97.79</v>
      </c>
      <c r="N33" s="84">
        <v>0</v>
      </c>
      <c r="O33" s="84">
        <v>0</v>
      </c>
      <c r="P33" s="84">
        <v>0</v>
      </c>
      <c r="Q33" s="84">
        <v>1204</v>
      </c>
      <c r="R33" s="3">
        <v>1155.18</v>
      </c>
      <c r="S33" s="84">
        <v>16963.39</v>
      </c>
      <c r="T33" s="181">
        <f>50220.58-16300</f>
        <v>33920.58</v>
      </c>
      <c r="U33" s="3">
        <v>0</v>
      </c>
      <c r="V33" s="84">
        <v>1907.38</v>
      </c>
      <c r="W33" s="3">
        <v>309.08</v>
      </c>
      <c r="X33" s="20">
        <f t="shared" si="4"/>
        <v>22593.02</v>
      </c>
      <c r="Y33" s="85">
        <v>17352.55</v>
      </c>
      <c r="Z33" s="84">
        <v>0</v>
      </c>
      <c r="AA33" s="3">
        <v>0</v>
      </c>
      <c r="AB33" s="20">
        <f t="shared" si="5"/>
        <v>5240.47</v>
      </c>
      <c r="AC33" s="84"/>
      <c r="AD33" s="84">
        <v>0</v>
      </c>
      <c r="AE33" s="20">
        <f t="shared" si="6"/>
        <v>3696.9</v>
      </c>
      <c r="AF33" s="84">
        <v>0</v>
      </c>
      <c r="AG33" s="3"/>
      <c r="AH33" s="3"/>
      <c r="AI33" s="3"/>
      <c r="AJ33">
        <f>AI32*1000/E33</f>
        <v>0</v>
      </c>
      <c r="AK33" s="171"/>
      <c r="AL33" s="171"/>
      <c r="AM33" s="55"/>
      <c r="AN33" s="55"/>
      <c r="AO33" s="80">
        <v>148330.53</v>
      </c>
      <c r="AP33" s="80">
        <f t="shared" si="8"/>
        <v>16300</v>
      </c>
      <c r="AR33" s="184">
        <f t="shared" si="7"/>
        <v>2</v>
      </c>
    </row>
    <row r="34" spans="1:44" ht="78.75" x14ac:dyDescent="0.25">
      <c r="A34" s="169" t="s">
        <v>54</v>
      </c>
      <c r="B34" s="139" t="s">
        <v>49</v>
      </c>
      <c r="C34" s="139" t="s">
        <v>37</v>
      </c>
      <c r="D34" s="139" t="s">
        <v>45</v>
      </c>
      <c r="E34" s="122">
        <v>2207</v>
      </c>
      <c r="F34" s="80">
        <f t="shared" si="1"/>
        <v>1978.3700000000001</v>
      </c>
      <c r="G34" s="80">
        <f t="shared" si="2"/>
        <v>734</v>
      </c>
      <c r="H34" s="3">
        <v>563.75</v>
      </c>
      <c r="I34" s="84">
        <v>0</v>
      </c>
      <c r="J34" s="3">
        <v>0</v>
      </c>
      <c r="K34" s="20">
        <f t="shared" si="3"/>
        <v>170.25</v>
      </c>
      <c r="L34" s="3">
        <v>0</v>
      </c>
      <c r="M34" s="84">
        <v>88.35</v>
      </c>
      <c r="N34" s="84">
        <v>0</v>
      </c>
      <c r="O34" s="84">
        <v>89.35</v>
      </c>
      <c r="P34" s="84">
        <v>0</v>
      </c>
      <c r="Q34" s="84">
        <v>81.81</v>
      </c>
      <c r="R34" s="3">
        <v>34.53</v>
      </c>
      <c r="S34" s="84">
        <v>86.22</v>
      </c>
      <c r="T34" s="3">
        <v>85</v>
      </c>
      <c r="U34" s="3">
        <v>0</v>
      </c>
      <c r="V34" s="84">
        <v>13.5</v>
      </c>
      <c r="W34" s="3">
        <v>3.53</v>
      </c>
      <c r="X34" s="20">
        <f t="shared" si="4"/>
        <v>560.13</v>
      </c>
      <c r="Y34" s="85">
        <v>430.21</v>
      </c>
      <c r="Z34" s="84">
        <v>0</v>
      </c>
      <c r="AA34" s="3">
        <v>0</v>
      </c>
      <c r="AB34" s="20">
        <f t="shared" si="5"/>
        <v>129.91999999999999</v>
      </c>
      <c r="AC34" s="84"/>
      <c r="AD34" s="168">
        <f>488.9-197.6</f>
        <v>291.29999999999995</v>
      </c>
      <c r="AE34" s="20">
        <f t="shared" si="6"/>
        <v>4366.3</v>
      </c>
      <c r="AF34" s="173">
        <v>435</v>
      </c>
      <c r="AG34" s="3">
        <f>SUM(AE34:AF35)</f>
        <v>5108.2</v>
      </c>
      <c r="AH34" s="3">
        <v>5108.2</v>
      </c>
      <c r="AI34" s="165">
        <f>AH34-AG34</f>
        <v>0</v>
      </c>
      <c r="AJ34">
        <f>AI34*1000/E34</f>
        <v>0</v>
      </c>
      <c r="AK34" s="171">
        <v>5108.2</v>
      </c>
      <c r="AL34" s="171">
        <f>AG34-AK34</f>
        <v>0</v>
      </c>
      <c r="AM34" s="55"/>
      <c r="AN34" s="55"/>
      <c r="AO34" s="80">
        <v>2175.9700000000003</v>
      </c>
      <c r="AP34" s="80">
        <f t="shared" si="8"/>
        <v>197.60000000000014</v>
      </c>
      <c r="AR34" s="184">
        <f t="shared" si="7"/>
        <v>2</v>
      </c>
    </row>
    <row r="35" spans="1:44" ht="63" x14ac:dyDescent="0.25">
      <c r="A35" s="123" t="s">
        <v>54</v>
      </c>
      <c r="B35" s="139" t="s">
        <v>50</v>
      </c>
      <c r="C35" s="139" t="s">
        <v>40</v>
      </c>
      <c r="D35" s="139" t="s">
        <v>45</v>
      </c>
      <c r="E35" s="122">
        <v>5</v>
      </c>
      <c r="F35" s="80">
        <f t="shared" si="1"/>
        <v>61370.610000000008</v>
      </c>
      <c r="G35" s="80">
        <f t="shared" si="2"/>
        <v>30901.210000000003</v>
      </c>
      <c r="H35" s="3">
        <v>23733.65</v>
      </c>
      <c r="I35" s="84">
        <v>0</v>
      </c>
      <c r="J35" s="3">
        <v>0</v>
      </c>
      <c r="K35" s="20">
        <f t="shared" si="3"/>
        <v>7167.56</v>
      </c>
      <c r="L35" s="3">
        <v>0</v>
      </c>
      <c r="M35" s="84">
        <v>730.23</v>
      </c>
      <c r="N35" s="84">
        <v>0</v>
      </c>
      <c r="O35" s="84">
        <v>730.23</v>
      </c>
      <c r="P35" s="84">
        <v>0</v>
      </c>
      <c r="Q35" s="84">
        <v>1483.8</v>
      </c>
      <c r="R35" s="3">
        <v>1765.7</v>
      </c>
      <c r="S35" s="84">
        <v>2723.86</v>
      </c>
      <c r="T35" s="3">
        <v>8000</v>
      </c>
      <c r="U35" s="3">
        <v>0</v>
      </c>
      <c r="V35" s="84">
        <v>1619.01</v>
      </c>
      <c r="W35" s="3">
        <v>1033.3499999999999</v>
      </c>
      <c r="X35" s="20">
        <f t="shared" si="4"/>
        <v>10676.4</v>
      </c>
      <c r="Y35" s="85">
        <v>8200</v>
      </c>
      <c r="Z35" s="84">
        <v>0</v>
      </c>
      <c r="AA35" s="3">
        <v>0</v>
      </c>
      <c r="AB35" s="20">
        <f t="shared" si="5"/>
        <v>2476.4</v>
      </c>
      <c r="AC35" s="84"/>
      <c r="AD35" s="84">
        <v>2437.0500000000002</v>
      </c>
      <c r="AE35" s="20">
        <f t="shared" si="6"/>
        <v>306.89999999999998</v>
      </c>
      <c r="AF35" s="84">
        <v>0</v>
      </c>
      <c r="AG35" s="3"/>
      <c r="AH35" s="3"/>
      <c r="AI35" s="3"/>
      <c r="AJ35">
        <f>AI34*1000/E35</f>
        <v>0</v>
      </c>
      <c r="AK35" s="171"/>
      <c r="AL35" s="171"/>
      <c r="AM35" s="55"/>
      <c r="AN35" s="55"/>
      <c r="AO35" s="80">
        <v>61370.610000000008</v>
      </c>
      <c r="AP35" s="80">
        <f t="shared" si="8"/>
        <v>0</v>
      </c>
      <c r="AR35" s="184">
        <f t="shared" si="7"/>
        <v>2</v>
      </c>
    </row>
    <row r="36" spans="1:44" ht="78.75" x14ac:dyDescent="0.25">
      <c r="A36" s="123" t="s">
        <v>55</v>
      </c>
      <c r="B36" s="139" t="s">
        <v>56</v>
      </c>
      <c r="C36" s="139" t="s">
        <v>37</v>
      </c>
      <c r="D36" s="58" t="s">
        <v>53</v>
      </c>
      <c r="E36" s="122">
        <v>3961</v>
      </c>
      <c r="F36" s="80">
        <f t="shared" si="1"/>
        <v>2533.8799999999997</v>
      </c>
      <c r="G36" s="80">
        <f t="shared" si="2"/>
        <v>1338.77</v>
      </c>
      <c r="H36" s="3">
        <v>1028.24</v>
      </c>
      <c r="I36" s="84">
        <v>0</v>
      </c>
      <c r="J36" s="3">
        <v>0</v>
      </c>
      <c r="K36" s="20">
        <f t="shared" si="3"/>
        <v>310.52999999999997</v>
      </c>
      <c r="L36" s="3">
        <v>0</v>
      </c>
      <c r="M36" s="84">
        <v>255.4</v>
      </c>
      <c r="N36" s="84">
        <v>0</v>
      </c>
      <c r="O36" s="84">
        <v>43.57</v>
      </c>
      <c r="P36" s="84">
        <v>0</v>
      </c>
      <c r="Q36" s="84">
        <v>90.49</v>
      </c>
      <c r="R36" s="3">
        <v>37.020000000000003</v>
      </c>
      <c r="S36" s="84">
        <v>104.72</v>
      </c>
      <c r="T36" s="3">
        <v>16.309999999999999</v>
      </c>
      <c r="U36" s="3">
        <v>0</v>
      </c>
      <c r="V36" s="84">
        <v>17.27</v>
      </c>
      <c r="W36" s="3">
        <v>0</v>
      </c>
      <c r="X36" s="20">
        <f t="shared" si="4"/>
        <v>578.01</v>
      </c>
      <c r="Y36" s="85">
        <v>443.94</v>
      </c>
      <c r="Z36" s="84">
        <v>0</v>
      </c>
      <c r="AA36" s="3">
        <v>0</v>
      </c>
      <c r="AB36" s="20">
        <f t="shared" si="5"/>
        <v>134.07</v>
      </c>
      <c r="AC36" s="84"/>
      <c r="AD36" s="168">
        <f>122.58-26.69</f>
        <v>95.89</v>
      </c>
      <c r="AE36" s="20">
        <f t="shared" si="6"/>
        <v>10036.700000000001</v>
      </c>
      <c r="AF36" s="173">
        <v>264.39999999999998</v>
      </c>
      <c r="AG36" s="3">
        <f>AE36+AE37+AF36</f>
        <v>10523.7</v>
      </c>
      <c r="AH36" s="3">
        <v>10523.7</v>
      </c>
      <c r="AI36" s="5">
        <f>AH36-AG36</f>
        <v>0</v>
      </c>
      <c r="AJ36">
        <f>AI36*1000/E36</f>
        <v>0</v>
      </c>
      <c r="AK36" s="171">
        <v>10523.7</v>
      </c>
      <c r="AL36" s="171">
        <f>AG36-AK36</f>
        <v>0</v>
      </c>
      <c r="AM36" s="55"/>
      <c r="AN36" s="55"/>
      <c r="AO36" s="80">
        <v>2560.5736958385819</v>
      </c>
      <c r="AP36" s="80">
        <f t="shared" si="8"/>
        <v>26.693695838582244</v>
      </c>
      <c r="AR36" s="184">
        <f t="shared" si="7"/>
        <v>2</v>
      </c>
    </row>
    <row r="37" spans="1:44" ht="63" x14ac:dyDescent="0.25">
      <c r="A37" s="123" t="s">
        <v>55</v>
      </c>
      <c r="B37" s="145" t="s">
        <v>57</v>
      </c>
      <c r="C37" s="139" t="s">
        <v>40</v>
      </c>
      <c r="D37" s="58" t="s">
        <v>45</v>
      </c>
      <c r="E37" s="122">
        <v>12</v>
      </c>
      <c r="F37" s="80">
        <f t="shared" si="1"/>
        <v>18550.939999999999</v>
      </c>
      <c r="G37" s="80">
        <f t="shared" si="2"/>
        <v>12369</v>
      </c>
      <c r="H37" s="3">
        <v>9500</v>
      </c>
      <c r="I37" s="84">
        <v>0</v>
      </c>
      <c r="J37" s="3">
        <v>0</v>
      </c>
      <c r="K37" s="20">
        <f t="shared" si="3"/>
        <v>2869</v>
      </c>
      <c r="L37" s="3">
        <v>0</v>
      </c>
      <c r="M37" s="84">
        <v>326.44</v>
      </c>
      <c r="N37" s="84">
        <v>0</v>
      </c>
      <c r="O37" s="84">
        <v>126.44</v>
      </c>
      <c r="P37" s="84">
        <v>0</v>
      </c>
      <c r="Q37" s="84">
        <v>116.67</v>
      </c>
      <c r="R37" s="3">
        <v>339.29</v>
      </c>
      <c r="S37" s="84">
        <v>895.83</v>
      </c>
      <c r="T37" s="3">
        <v>33.33</v>
      </c>
      <c r="U37" s="3">
        <v>0</v>
      </c>
      <c r="V37" s="84">
        <v>60</v>
      </c>
      <c r="W37" s="3">
        <v>0</v>
      </c>
      <c r="X37" s="20">
        <f t="shared" si="4"/>
        <v>3893.71</v>
      </c>
      <c r="Y37" s="85">
        <v>2990.56</v>
      </c>
      <c r="Z37" s="84">
        <v>0</v>
      </c>
      <c r="AA37" s="3">
        <v>0</v>
      </c>
      <c r="AB37" s="20">
        <f t="shared" si="5"/>
        <v>903.15</v>
      </c>
      <c r="AC37" s="84"/>
      <c r="AD37" s="84">
        <v>516.66999999999996</v>
      </c>
      <c r="AE37" s="20">
        <f t="shared" si="6"/>
        <v>222.6</v>
      </c>
      <c r="AF37" s="84">
        <v>0</v>
      </c>
      <c r="AG37" s="3"/>
      <c r="AH37" s="3"/>
      <c r="AI37" s="3"/>
      <c r="AJ37" s="3"/>
      <c r="AK37" s="171"/>
      <c r="AL37" s="171"/>
      <c r="AM37" s="55"/>
      <c r="AN37" s="55"/>
      <c r="AO37" s="80">
        <v>18550.941378353335</v>
      </c>
      <c r="AP37" s="80">
        <f t="shared" si="8"/>
        <v>1.3783533358946443E-3</v>
      </c>
      <c r="AR37" s="184">
        <f t="shared" si="7"/>
        <v>2</v>
      </c>
    </row>
    <row r="38" spans="1:44" ht="63" x14ac:dyDescent="0.25">
      <c r="A38" s="152" t="s">
        <v>58</v>
      </c>
      <c r="B38" s="146" t="s">
        <v>39</v>
      </c>
      <c r="C38" s="146" t="s">
        <v>40</v>
      </c>
      <c r="D38" s="59" t="s">
        <v>45</v>
      </c>
      <c r="E38" s="122">
        <v>30</v>
      </c>
      <c r="F38" s="80">
        <f t="shared" si="1"/>
        <v>100539.09</v>
      </c>
      <c r="G38" s="80">
        <f t="shared" si="2"/>
        <v>48851.040000000001</v>
      </c>
      <c r="H38" s="3">
        <v>37520</v>
      </c>
      <c r="I38" s="84">
        <v>0</v>
      </c>
      <c r="J38" s="3">
        <v>0</v>
      </c>
      <c r="K38" s="20">
        <f t="shared" si="3"/>
        <v>11331.04</v>
      </c>
      <c r="L38" s="3">
        <v>0</v>
      </c>
      <c r="M38" s="84">
        <v>5400</v>
      </c>
      <c r="N38" s="84">
        <v>3333.33</v>
      </c>
      <c r="O38" s="84">
        <v>1250</v>
      </c>
      <c r="P38" s="84">
        <v>0</v>
      </c>
      <c r="Q38" s="84">
        <v>1233.33</v>
      </c>
      <c r="R38" s="3">
        <v>9902.85</v>
      </c>
      <c r="S38" s="84">
        <v>2950</v>
      </c>
      <c r="T38" s="3">
        <v>1700</v>
      </c>
      <c r="U38" s="3">
        <v>0</v>
      </c>
      <c r="V38" s="84">
        <v>3620</v>
      </c>
      <c r="W38" s="3">
        <v>0</v>
      </c>
      <c r="X38" s="20">
        <f t="shared" si="4"/>
        <v>22915.200000000001</v>
      </c>
      <c r="Y38" s="85">
        <v>17600</v>
      </c>
      <c r="Z38" s="84">
        <v>0</v>
      </c>
      <c r="AA38" s="3">
        <v>0</v>
      </c>
      <c r="AB38" s="20">
        <f t="shared" si="5"/>
        <v>5315.2</v>
      </c>
      <c r="AC38" s="84"/>
      <c r="AD38" s="168">
        <f>4050-83.33</f>
        <v>3966.67</v>
      </c>
      <c r="AE38" s="20">
        <f t="shared" si="6"/>
        <v>3016.2</v>
      </c>
      <c r="AF38" s="173">
        <v>166.9</v>
      </c>
      <c r="AG38" s="3">
        <f>AF38+AE38</f>
        <v>3183.1</v>
      </c>
      <c r="AH38" s="3">
        <v>3183.1</v>
      </c>
      <c r="AI38" s="5">
        <f>AH38-AG38</f>
        <v>0</v>
      </c>
      <c r="AJ38">
        <f t="shared" ref="AJ38:AJ39" si="12">AI38*1000/E38</f>
        <v>0</v>
      </c>
      <c r="AK38" s="171">
        <v>3183.1</v>
      </c>
      <c r="AL38" s="171">
        <f>AG38-AK38</f>
        <v>0</v>
      </c>
      <c r="AM38" s="55"/>
      <c r="AN38" s="55"/>
      <c r="AO38" s="80">
        <v>100622.42333333332</v>
      </c>
      <c r="AP38" s="80">
        <f t="shared" si="8"/>
        <v>83.333333333328483</v>
      </c>
      <c r="AR38" s="184">
        <f t="shared" si="7"/>
        <v>2</v>
      </c>
    </row>
    <row r="39" spans="1:44" ht="63" x14ac:dyDescent="0.25">
      <c r="A39" s="169" t="s">
        <v>59</v>
      </c>
      <c r="B39" s="139" t="s">
        <v>39</v>
      </c>
      <c r="C39" s="139" t="s">
        <v>40</v>
      </c>
      <c r="D39" s="139" t="s">
        <v>45</v>
      </c>
      <c r="E39" s="122">
        <v>13</v>
      </c>
      <c r="F39" s="80">
        <f t="shared" si="1"/>
        <v>108251.54</v>
      </c>
      <c r="G39" s="80">
        <f t="shared" si="2"/>
        <v>27642.46</v>
      </c>
      <c r="H39" s="3">
        <v>21230.77</v>
      </c>
      <c r="I39" s="84">
        <v>0</v>
      </c>
      <c r="J39" s="3">
        <v>0</v>
      </c>
      <c r="K39" s="20">
        <f t="shared" si="3"/>
        <v>6411.69</v>
      </c>
      <c r="L39" s="3"/>
      <c r="M39" s="84">
        <v>512.52</v>
      </c>
      <c r="N39" s="84">
        <v>0</v>
      </c>
      <c r="O39" s="84">
        <v>407.69</v>
      </c>
      <c r="P39" s="84">
        <v>0</v>
      </c>
      <c r="Q39" s="84">
        <v>0</v>
      </c>
      <c r="R39" s="3">
        <v>11019.39</v>
      </c>
      <c r="S39" s="168">
        <f>64623.9-3430.77</f>
        <v>61193.130000000005</v>
      </c>
      <c r="T39" s="3">
        <v>0</v>
      </c>
      <c r="U39" s="3">
        <v>0</v>
      </c>
      <c r="V39" s="84">
        <v>1153.7</v>
      </c>
      <c r="W39" s="3">
        <v>0</v>
      </c>
      <c r="X39" s="20">
        <f t="shared" si="4"/>
        <v>6730.3399999999992</v>
      </c>
      <c r="Y39" s="85">
        <v>5169.2299999999996</v>
      </c>
      <c r="Z39" s="84">
        <v>0</v>
      </c>
      <c r="AA39" s="3">
        <v>0</v>
      </c>
      <c r="AB39" s="20">
        <f t="shared" si="5"/>
        <v>1561.11</v>
      </c>
      <c r="AC39" s="84">
        <v>0</v>
      </c>
      <c r="AD39" s="84">
        <v>0</v>
      </c>
      <c r="AE39" s="20">
        <f>ROUND(E39*F39/1000,1)</f>
        <v>1407.3</v>
      </c>
      <c r="AF39" s="173">
        <v>167.1</v>
      </c>
      <c r="AG39" s="155">
        <f>AE39+AF39</f>
        <v>1574.3999999999999</v>
      </c>
      <c r="AH39" s="155">
        <v>1574.4</v>
      </c>
      <c r="AI39" s="5">
        <f>AH39-AG39</f>
        <v>0</v>
      </c>
      <c r="AJ39">
        <f t="shared" si="12"/>
        <v>0</v>
      </c>
      <c r="AK39" s="171">
        <v>1574.4</v>
      </c>
      <c r="AL39" s="171">
        <f>AG39-AK39</f>
        <v>0</v>
      </c>
      <c r="AM39" s="55"/>
      <c r="AN39" s="55"/>
      <c r="AO39" s="80">
        <v>111666.12363636364</v>
      </c>
      <c r="AP39" s="80">
        <f t="shared" si="8"/>
        <v>3414.5836363636481</v>
      </c>
      <c r="AR39" s="184">
        <f t="shared" si="7"/>
        <v>2</v>
      </c>
    </row>
    <row r="40" spans="1:44" ht="63" x14ac:dyDescent="0.25">
      <c r="A40" s="261" t="s">
        <v>60</v>
      </c>
      <c r="B40" s="141" t="s">
        <v>61</v>
      </c>
      <c r="C40" s="141" t="s">
        <v>62</v>
      </c>
      <c r="D40" s="141" t="s">
        <v>45</v>
      </c>
      <c r="E40" s="157">
        <v>496</v>
      </c>
      <c r="F40" s="80">
        <f t="shared" si="1"/>
        <v>17583.500000000004</v>
      </c>
      <c r="G40" s="80">
        <f t="shared" si="2"/>
        <v>7528.5</v>
      </c>
      <c r="H40" s="3">
        <v>5782.26</v>
      </c>
      <c r="I40" s="84">
        <v>0</v>
      </c>
      <c r="J40" s="3">
        <v>0</v>
      </c>
      <c r="K40" s="20">
        <f t="shared" si="3"/>
        <v>1746.24</v>
      </c>
      <c r="L40" s="3">
        <v>0</v>
      </c>
      <c r="M40" s="84">
        <v>887.5</v>
      </c>
      <c r="N40" s="84">
        <v>0</v>
      </c>
      <c r="O40" s="84">
        <v>0</v>
      </c>
      <c r="P40" s="84">
        <v>0</v>
      </c>
      <c r="Q40" s="84">
        <v>298.39</v>
      </c>
      <c r="R40" s="3">
        <v>1086.69</v>
      </c>
      <c r="S40" s="84">
        <v>1138.1600000000001</v>
      </c>
      <c r="T40" s="3">
        <v>115.93</v>
      </c>
      <c r="U40" s="3">
        <v>0</v>
      </c>
      <c r="V40" s="84">
        <v>28.65</v>
      </c>
      <c r="W40" s="3">
        <v>1.27</v>
      </c>
      <c r="X40" s="20">
        <f t="shared" si="4"/>
        <v>5677.85</v>
      </c>
      <c r="Y40" s="85">
        <v>4360.87</v>
      </c>
      <c r="Z40" s="84">
        <v>0</v>
      </c>
      <c r="AA40" s="3">
        <v>0</v>
      </c>
      <c r="AB40" s="20">
        <f t="shared" si="5"/>
        <v>1316.98</v>
      </c>
      <c r="AC40" s="84"/>
      <c r="AD40" s="168">
        <f>859.88-39.32</f>
        <v>820.56</v>
      </c>
      <c r="AE40" s="20">
        <f t="shared" si="6"/>
        <v>8721.4</v>
      </c>
      <c r="AF40" s="173">
        <v>19.600000000000001</v>
      </c>
      <c r="AG40" s="3">
        <f>AE40+AE41+AE42+AE43+AF40</f>
        <v>19897.8</v>
      </c>
      <c r="AH40" s="3">
        <v>19897.8</v>
      </c>
      <c r="AI40" s="5">
        <f>AH40-AG40</f>
        <v>0</v>
      </c>
      <c r="AJ40">
        <f>AI40*1000/E40</f>
        <v>0</v>
      </c>
      <c r="AK40" s="171">
        <v>19897.754499999999</v>
      </c>
      <c r="AL40" s="171">
        <f>AG40-AK40</f>
        <v>4.5500000000174623E-2</v>
      </c>
      <c r="AM40" s="55"/>
      <c r="AN40" s="55"/>
      <c r="AO40" s="80">
        <v>17622.803277066738</v>
      </c>
      <c r="AP40" s="80">
        <f t="shared" si="8"/>
        <v>39.303277066734154</v>
      </c>
      <c r="AR40" s="184">
        <f t="shared" si="7"/>
        <v>1</v>
      </c>
    </row>
    <row r="41" spans="1:44" ht="120" x14ac:dyDescent="0.25">
      <c r="A41" s="262"/>
      <c r="B41" s="147" t="s">
        <v>82</v>
      </c>
      <c r="C41" s="148" t="s">
        <v>64</v>
      </c>
      <c r="D41" s="149" t="s">
        <v>65</v>
      </c>
      <c r="E41" s="157">
        <v>3304</v>
      </c>
      <c r="F41" s="80">
        <f t="shared" si="1"/>
        <v>2356.75</v>
      </c>
      <c r="G41" s="80">
        <f t="shared" si="2"/>
        <v>1226.82</v>
      </c>
      <c r="H41" s="3">
        <v>942.26</v>
      </c>
      <c r="I41" s="84">
        <v>0</v>
      </c>
      <c r="J41" s="3">
        <v>0</v>
      </c>
      <c r="K41" s="20">
        <f t="shared" si="3"/>
        <v>284.56</v>
      </c>
      <c r="L41" s="3">
        <v>0</v>
      </c>
      <c r="M41" s="84">
        <v>49.51</v>
      </c>
      <c r="N41" s="84">
        <v>0</v>
      </c>
      <c r="O41" s="84">
        <v>14.68</v>
      </c>
      <c r="P41" s="84">
        <v>0</v>
      </c>
      <c r="Q41" s="84">
        <v>0</v>
      </c>
      <c r="R41" s="3">
        <v>11.59</v>
      </c>
      <c r="S41" s="84">
        <v>27.41</v>
      </c>
      <c r="T41" s="3">
        <v>62.44</v>
      </c>
      <c r="U41" s="3">
        <v>0</v>
      </c>
      <c r="V41" s="84">
        <v>41.11</v>
      </c>
      <c r="W41" s="3">
        <v>27.83</v>
      </c>
      <c r="X41" s="20">
        <f t="shared" si="4"/>
        <v>540.81999999999994</v>
      </c>
      <c r="Y41" s="85">
        <v>415.38</v>
      </c>
      <c r="Z41" s="84">
        <v>0</v>
      </c>
      <c r="AA41" s="3">
        <v>0</v>
      </c>
      <c r="AB41" s="20">
        <f t="shared" si="5"/>
        <v>125.44</v>
      </c>
      <c r="AC41" s="84"/>
      <c r="AD41" s="84">
        <v>369.22</v>
      </c>
      <c r="AE41" s="20">
        <f t="shared" si="6"/>
        <v>7786.7</v>
      </c>
      <c r="AF41" s="84">
        <v>0</v>
      </c>
      <c r="AG41" s="3"/>
      <c r="AH41" s="3"/>
      <c r="AI41" s="3"/>
      <c r="AJ41" s="3"/>
      <c r="AK41" s="171"/>
      <c r="AL41" s="171"/>
      <c r="AM41" s="55"/>
      <c r="AN41" s="55"/>
      <c r="AO41" s="80">
        <v>2356.75</v>
      </c>
      <c r="AP41" s="80">
        <f t="shared" si="8"/>
        <v>0</v>
      </c>
      <c r="AR41" s="184">
        <f t="shared" si="7"/>
        <v>2</v>
      </c>
    </row>
    <row r="42" spans="1:44" ht="180" x14ac:dyDescent="0.25">
      <c r="A42" s="262"/>
      <c r="B42" s="150" t="s">
        <v>83</v>
      </c>
      <c r="C42" s="148" t="s">
        <v>64</v>
      </c>
      <c r="D42" s="149" t="s">
        <v>65</v>
      </c>
      <c r="E42" s="157">
        <v>480</v>
      </c>
      <c r="F42" s="80">
        <f t="shared" si="1"/>
        <v>2356.75</v>
      </c>
      <c r="G42" s="80">
        <f t="shared" si="2"/>
        <v>1226.82</v>
      </c>
      <c r="H42" s="3">
        <v>942.26</v>
      </c>
      <c r="I42" s="84">
        <v>0</v>
      </c>
      <c r="J42" s="3">
        <v>0</v>
      </c>
      <c r="K42" s="20">
        <f t="shared" si="3"/>
        <v>284.56</v>
      </c>
      <c r="L42" s="3">
        <v>0</v>
      </c>
      <c r="M42" s="84">
        <v>49.51</v>
      </c>
      <c r="N42" s="84">
        <v>0</v>
      </c>
      <c r="O42" s="84">
        <v>14.68</v>
      </c>
      <c r="P42" s="84">
        <v>0</v>
      </c>
      <c r="Q42" s="84">
        <v>0</v>
      </c>
      <c r="R42" s="3">
        <v>11.59</v>
      </c>
      <c r="S42" s="84">
        <v>27.41</v>
      </c>
      <c r="T42" s="3">
        <v>62.44</v>
      </c>
      <c r="U42" s="3">
        <v>0</v>
      </c>
      <c r="V42" s="84">
        <v>41.11</v>
      </c>
      <c r="W42" s="3">
        <v>27.83</v>
      </c>
      <c r="X42" s="20">
        <f t="shared" si="4"/>
        <v>540.81999999999994</v>
      </c>
      <c r="Y42" s="85">
        <v>415.38</v>
      </c>
      <c r="Z42" s="84">
        <v>0</v>
      </c>
      <c r="AA42" s="3">
        <v>0</v>
      </c>
      <c r="AB42" s="20">
        <f t="shared" si="5"/>
        <v>125.44</v>
      </c>
      <c r="AC42" s="84"/>
      <c r="AD42" s="84">
        <v>369.22</v>
      </c>
      <c r="AE42" s="20">
        <f t="shared" si="6"/>
        <v>1131.2</v>
      </c>
      <c r="AF42" s="84">
        <v>0</v>
      </c>
      <c r="AG42" s="3"/>
      <c r="AH42" s="3"/>
      <c r="AI42" s="3"/>
      <c r="AJ42" s="3"/>
      <c r="AK42" s="171"/>
      <c r="AL42" s="171"/>
      <c r="AM42" s="55"/>
      <c r="AN42" s="55"/>
      <c r="AO42" s="80">
        <v>2356.75</v>
      </c>
      <c r="AP42" s="80">
        <f t="shared" si="8"/>
        <v>0</v>
      </c>
      <c r="AR42" s="184">
        <f t="shared" si="7"/>
        <v>2</v>
      </c>
    </row>
    <row r="43" spans="1:44" ht="90" x14ac:dyDescent="0.25">
      <c r="A43" s="262"/>
      <c r="B43" s="150" t="s">
        <v>84</v>
      </c>
      <c r="C43" s="148" t="s">
        <v>64</v>
      </c>
      <c r="D43" s="149" t="s">
        <v>65</v>
      </c>
      <c r="E43" s="157">
        <v>950</v>
      </c>
      <c r="F43" s="80">
        <f t="shared" si="1"/>
        <v>2356.75</v>
      </c>
      <c r="G43" s="80">
        <f t="shared" si="2"/>
        <v>1226.82</v>
      </c>
      <c r="H43" s="3">
        <v>942.26</v>
      </c>
      <c r="I43" s="84">
        <v>0</v>
      </c>
      <c r="J43" s="3">
        <v>0</v>
      </c>
      <c r="K43" s="20">
        <f t="shared" si="3"/>
        <v>284.56</v>
      </c>
      <c r="L43" s="3">
        <v>0</v>
      </c>
      <c r="M43" s="84">
        <v>49.51</v>
      </c>
      <c r="N43" s="84">
        <v>0</v>
      </c>
      <c r="O43" s="84">
        <v>14.68</v>
      </c>
      <c r="P43" s="84">
        <v>0</v>
      </c>
      <c r="Q43" s="84">
        <v>0</v>
      </c>
      <c r="R43" s="3">
        <v>11.59</v>
      </c>
      <c r="S43" s="84">
        <v>27.41</v>
      </c>
      <c r="T43" s="3">
        <v>62.44</v>
      </c>
      <c r="U43" s="3">
        <v>0</v>
      </c>
      <c r="V43" s="84">
        <v>41.11</v>
      </c>
      <c r="W43" s="3">
        <v>27.83</v>
      </c>
      <c r="X43" s="20">
        <f t="shared" si="4"/>
        <v>540.81999999999994</v>
      </c>
      <c r="Y43" s="85">
        <v>415.38</v>
      </c>
      <c r="Z43" s="84">
        <v>0</v>
      </c>
      <c r="AA43" s="3">
        <v>0</v>
      </c>
      <c r="AB43" s="20">
        <f t="shared" si="5"/>
        <v>125.44</v>
      </c>
      <c r="AC43" s="84"/>
      <c r="AD43" s="84">
        <v>369.22</v>
      </c>
      <c r="AE43" s="20">
        <f t="shared" si="6"/>
        <v>2238.9</v>
      </c>
      <c r="AF43" s="84">
        <v>0</v>
      </c>
      <c r="AG43" s="3"/>
      <c r="AH43" s="3"/>
      <c r="AI43" s="3"/>
      <c r="AJ43" s="3"/>
      <c r="AK43" s="171"/>
      <c r="AL43" s="171"/>
      <c r="AM43" s="55"/>
      <c r="AN43" s="55"/>
      <c r="AO43" s="80">
        <v>2356.75</v>
      </c>
      <c r="AP43" s="80">
        <f t="shared" si="8"/>
        <v>0</v>
      </c>
      <c r="AR43" s="184">
        <f t="shared" si="7"/>
        <v>2</v>
      </c>
    </row>
    <row r="44" spans="1:44" ht="18.75" x14ac:dyDescent="0.25">
      <c r="AE44" s="182">
        <f t="shared" ref="AE44:AF44" si="13">SUM(AE11:AE43)</f>
        <v>756037.89999999979</v>
      </c>
      <c r="AF44" s="182">
        <f t="shared" si="13"/>
        <v>4525.3</v>
      </c>
      <c r="AG44" s="182">
        <f>SUM(AG11:AG43)</f>
        <v>760563.20000000007</v>
      </c>
      <c r="AH44" s="182">
        <f>SUM(AH11:AH43)</f>
        <v>760564.10000000009</v>
      </c>
      <c r="AI44" s="108">
        <f>AH44-AG44</f>
        <v>0.90000000002328306</v>
      </c>
      <c r="AJ44" s="108"/>
      <c r="AK44" s="182">
        <f t="shared" ref="AK44:AL44" si="14">SUM(AK11:AK43)</f>
        <v>760563.19653839921</v>
      </c>
      <c r="AL44" s="182">
        <f t="shared" si="14"/>
        <v>3.4616007014847128E-3</v>
      </c>
      <c r="AP44" s="108">
        <f>SUM(AP11:AP43)</f>
        <v>16784.849509868647</v>
      </c>
    </row>
    <row r="45" spans="1:44" ht="18.75" x14ac:dyDescent="0.25">
      <c r="AG45" s="162">
        <v>760563.19999999995</v>
      </c>
    </row>
    <row r="46" spans="1:44" ht="18.75" x14ac:dyDescent="0.25">
      <c r="AG46" s="162">
        <v>760563.19999999995</v>
      </c>
    </row>
    <row r="47" spans="1:44" x14ac:dyDescent="0.25">
      <c r="AG47">
        <f>AG45/AG44</f>
        <v>0.99999999999999989</v>
      </c>
    </row>
    <row r="48" spans="1:44" x14ac:dyDescent="0.25">
      <c r="F48" s="108">
        <f>ROUND(F20,2)</f>
        <v>8592.6299999999992</v>
      </c>
      <c r="G48" s="108">
        <f t="shared" ref="G48:AG49" si="15">ROUND(G20,2)</f>
        <v>4810.28</v>
      </c>
      <c r="H48" s="108">
        <f t="shared" si="15"/>
        <v>3640.92</v>
      </c>
      <c r="I48" s="108">
        <f t="shared" si="15"/>
        <v>0</v>
      </c>
      <c r="J48" s="108">
        <f t="shared" si="15"/>
        <v>0</v>
      </c>
      <c r="K48" s="108">
        <f t="shared" si="15"/>
        <v>1099.56</v>
      </c>
      <c r="L48" s="108">
        <f t="shared" si="15"/>
        <v>69.8</v>
      </c>
      <c r="M48" s="108">
        <f t="shared" si="15"/>
        <v>751.83</v>
      </c>
      <c r="N48" s="108">
        <f t="shared" si="15"/>
        <v>157.36000000000001</v>
      </c>
      <c r="O48" s="108">
        <f t="shared" si="15"/>
        <v>20.66</v>
      </c>
      <c r="P48" s="108">
        <f t="shared" si="15"/>
        <v>0</v>
      </c>
      <c r="Q48" s="108">
        <f t="shared" si="15"/>
        <v>0</v>
      </c>
      <c r="R48" s="108">
        <f t="shared" si="15"/>
        <v>287.26</v>
      </c>
      <c r="S48" s="108">
        <f t="shared" si="15"/>
        <v>469.01</v>
      </c>
      <c r="T48" s="108">
        <f t="shared" si="15"/>
        <v>598.46</v>
      </c>
      <c r="U48" s="108">
        <f t="shared" si="15"/>
        <v>0</v>
      </c>
      <c r="V48" s="108">
        <f t="shared" si="15"/>
        <v>9.66</v>
      </c>
      <c r="W48" s="108">
        <f t="shared" si="15"/>
        <v>0</v>
      </c>
      <c r="X48" s="108">
        <f t="shared" si="15"/>
        <v>1610.65</v>
      </c>
      <c r="Y48" s="108">
        <f t="shared" si="15"/>
        <v>1237.06</v>
      </c>
      <c r="Z48" s="108">
        <f t="shared" si="15"/>
        <v>0</v>
      </c>
      <c r="AA48" s="108">
        <f t="shared" si="15"/>
        <v>0</v>
      </c>
      <c r="AB48" s="108">
        <f t="shared" si="15"/>
        <v>373.59</v>
      </c>
      <c r="AC48" s="108">
        <f t="shared" si="15"/>
        <v>0</v>
      </c>
      <c r="AD48" s="108">
        <f t="shared" si="15"/>
        <v>55.48</v>
      </c>
      <c r="AE48" s="108">
        <f t="shared" si="15"/>
        <v>89157.1</v>
      </c>
      <c r="AF48" s="108">
        <f t="shared" si="15"/>
        <v>93.5</v>
      </c>
      <c r="AG48" s="108">
        <f t="shared" si="15"/>
        <v>90143</v>
      </c>
    </row>
    <row r="49" spans="6:33" x14ac:dyDescent="0.25">
      <c r="F49" s="108">
        <f>ROUND(F21,2)</f>
        <v>23484.61</v>
      </c>
      <c r="G49" s="108">
        <f t="shared" si="15"/>
        <v>12084.92</v>
      </c>
      <c r="H49" s="108">
        <f t="shared" si="15"/>
        <v>8744.31</v>
      </c>
      <c r="I49" s="108">
        <f t="shared" si="15"/>
        <v>0</v>
      </c>
      <c r="J49" s="108">
        <f t="shared" si="15"/>
        <v>0</v>
      </c>
      <c r="K49" s="108">
        <f t="shared" si="15"/>
        <v>2640.78</v>
      </c>
      <c r="L49" s="108">
        <f t="shared" si="15"/>
        <v>699.83</v>
      </c>
      <c r="M49" s="108">
        <f>ROUND(M21,2)</f>
        <v>528.76</v>
      </c>
      <c r="N49" s="108">
        <f t="shared" si="15"/>
        <v>394.74</v>
      </c>
      <c r="O49" s="108">
        <f t="shared" si="15"/>
        <v>0</v>
      </c>
      <c r="P49" s="108">
        <f t="shared" si="15"/>
        <v>0</v>
      </c>
      <c r="Q49" s="108">
        <f t="shared" si="15"/>
        <v>1997.38</v>
      </c>
      <c r="R49" s="108">
        <f t="shared" si="15"/>
        <v>0</v>
      </c>
      <c r="S49" s="108">
        <f t="shared" si="15"/>
        <v>0</v>
      </c>
      <c r="T49" s="108">
        <f t="shared" si="15"/>
        <v>0</v>
      </c>
      <c r="U49" s="108">
        <f t="shared" si="15"/>
        <v>0</v>
      </c>
      <c r="V49" s="108">
        <f t="shared" si="15"/>
        <v>38.380000000000003</v>
      </c>
      <c r="W49" s="108">
        <f t="shared" si="15"/>
        <v>0</v>
      </c>
      <c r="X49" s="108">
        <f t="shared" si="15"/>
        <v>8177.28</v>
      </c>
      <c r="Y49" s="108">
        <f t="shared" si="15"/>
        <v>6280.55</v>
      </c>
      <c r="Z49" s="108">
        <f t="shared" si="15"/>
        <v>0</v>
      </c>
      <c r="AA49" s="108">
        <f t="shared" si="15"/>
        <v>0</v>
      </c>
      <c r="AB49" s="108">
        <f t="shared" si="15"/>
        <v>1896.73</v>
      </c>
      <c r="AC49" s="108">
        <f t="shared" si="15"/>
        <v>0</v>
      </c>
      <c r="AD49" s="108">
        <f t="shared" si="15"/>
        <v>657.89</v>
      </c>
      <c r="AE49" s="108">
        <f t="shared" si="15"/>
        <v>892.4</v>
      </c>
      <c r="AF49" s="108">
        <f t="shared" si="15"/>
        <v>0</v>
      </c>
      <c r="AG49" s="108">
        <f t="shared" si="15"/>
        <v>0</v>
      </c>
    </row>
  </sheetData>
  <autoFilter ref="E10:AR49"/>
  <mergeCells count="44">
    <mergeCell ref="A40:A43"/>
    <mergeCell ref="AB7:AB9"/>
    <mergeCell ref="AC7:AC9"/>
    <mergeCell ref="M8:M9"/>
    <mergeCell ref="N8:O8"/>
    <mergeCell ref="G6:G9"/>
    <mergeCell ref="I7:I9"/>
    <mergeCell ref="A3:A9"/>
    <mergeCell ref="B3:B9"/>
    <mergeCell ref="T5:T9"/>
    <mergeCell ref="U5:U9"/>
    <mergeCell ref="S5:S9"/>
    <mergeCell ref="AG23:AG25"/>
    <mergeCell ref="AG26:AG2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H6:L6"/>
    <mergeCell ref="X6:X9"/>
    <mergeCell ref="Y6:AC6"/>
    <mergeCell ref="H7:H9"/>
    <mergeCell ref="AG29:AG31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C3:D3"/>
    <mergeCell ref="F3:AD3"/>
    <mergeCell ref="AE3:AE9"/>
    <mergeCell ref="AF3:AF9"/>
    <mergeCell ref="R5:R9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K48"/>
  <sheetViews>
    <sheetView zoomScale="70" zoomScaleNormal="70" workbookViewId="0">
      <pane xSplit="6" ySplit="10" topLeftCell="Z44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26.1406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5.42578125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customWidth="1"/>
    <col min="36" max="37" width="22" customWidth="1"/>
  </cols>
  <sheetData>
    <row r="1" spans="1:37" ht="34.5" customHeight="1" x14ac:dyDescent="0.25">
      <c r="E1" s="187" t="s">
        <v>103</v>
      </c>
      <c r="Z1" s="193" t="s">
        <v>105</v>
      </c>
      <c r="AA1" s="193" t="s">
        <v>106</v>
      </c>
      <c r="AB1" s="193" t="s">
        <v>107</v>
      </c>
    </row>
    <row r="2" spans="1:37" ht="18.75" x14ac:dyDescent="0.3">
      <c r="A2" s="118" t="s">
        <v>72</v>
      </c>
      <c r="B2" s="151" t="s">
        <v>96</v>
      </c>
      <c r="C2" s="151"/>
      <c r="E2" s="189" t="s">
        <v>104</v>
      </c>
      <c r="Z2" s="192">
        <f>E11+E14+E17+E20+E23+E26+E29+E32+E34+E36</f>
        <v>518970</v>
      </c>
      <c r="AA2" s="192">
        <f>E12+E15+E18+E21+E24+E27+E30+E33+E35+E37+E38+E39</f>
        <v>1397</v>
      </c>
      <c r="AB2" s="192">
        <f>E13+E16+E19+E22+E25+E28+E31</f>
        <v>47</v>
      </c>
    </row>
    <row r="3" spans="1:37" ht="15.75" x14ac:dyDescent="0.25">
      <c r="A3" s="247" t="s">
        <v>0</v>
      </c>
      <c r="B3" s="243" t="s">
        <v>1</v>
      </c>
      <c r="C3" s="248" t="s">
        <v>2</v>
      </c>
      <c r="D3" s="248"/>
      <c r="E3" s="135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4</v>
      </c>
      <c r="AF3" s="243" t="s">
        <v>5</v>
      </c>
      <c r="AG3" s="244" t="s">
        <v>6</v>
      </c>
      <c r="AH3" s="4"/>
      <c r="AI3" s="4"/>
    </row>
    <row r="4" spans="1:37" ht="15.75" x14ac:dyDescent="0.25">
      <c r="A4" s="238"/>
      <c r="B4" s="242"/>
      <c r="C4" s="249" t="s">
        <v>7</v>
      </c>
      <c r="D4" s="249" t="s">
        <v>8</v>
      </c>
      <c r="E4" s="249" t="s">
        <v>9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  <c r="AF4" s="242"/>
      <c r="AG4" s="245"/>
      <c r="AH4" s="4"/>
      <c r="AI4" s="4"/>
    </row>
    <row r="5" spans="1:37" ht="15.75" x14ac:dyDescent="0.25">
      <c r="A5" s="238"/>
      <c r="B5" s="242"/>
      <c r="C5" s="249"/>
      <c r="D5" s="249"/>
      <c r="E5" s="249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  <c r="AF5" s="242"/>
      <c r="AG5" s="245"/>
      <c r="AH5" s="4"/>
      <c r="AI5" s="4"/>
    </row>
    <row r="6" spans="1:37" ht="15.75" x14ac:dyDescent="0.25">
      <c r="A6" s="238"/>
      <c r="B6" s="242"/>
      <c r="C6" s="249"/>
      <c r="D6" s="249"/>
      <c r="E6" s="249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  <c r="AF6" s="242"/>
      <c r="AG6" s="245"/>
      <c r="AH6" s="4"/>
      <c r="AI6" s="4"/>
    </row>
    <row r="7" spans="1:37" x14ac:dyDescent="0.25">
      <c r="A7" s="238"/>
      <c r="B7" s="242"/>
      <c r="C7" s="249"/>
      <c r="D7" s="249"/>
      <c r="E7" s="249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  <c r="AF7" s="242"/>
      <c r="AG7" s="245"/>
      <c r="AH7" s="4"/>
      <c r="AI7" s="4"/>
    </row>
    <row r="8" spans="1:37" ht="15.75" x14ac:dyDescent="0.25">
      <c r="A8" s="238"/>
      <c r="B8" s="242"/>
      <c r="C8" s="249"/>
      <c r="D8" s="249"/>
      <c r="E8" s="249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  <c r="AF8" s="242"/>
      <c r="AG8" s="245"/>
      <c r="AH8" s="4"/>
      <c r="AI8" s="4"/>
    </row>
    <row r="9" spans="1:37" ht="94.5" x14ac:dyDescent="0.25">
      <c r="A9" s="238"/>
      <c r="B9" s="242"/>
      <c r="C9" s="249"/>
      <c r="D9" s="249"/>
      <c r="E9" s="249"/>
      <c r="F9" s="246"/>
      <c r="G9" s="246"/>
      <c r="H9" s="242"/>
      <c r="I9" s="242"/>
      <c r="J9" s="242"/>
      <c r="K9" s="242"/>
      <c r="L9" s="242"/>
      <c r="M9" s="246"/>
      <c r="N9" s="133" t="s">
        <v>33</v>
      </c>
      <c r="O9" s="133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  <c r="AF9" s="242"/>
      <c r="AG9" s="245"/>
      <c r="AH9" s="44" t="s">
        <v>68</v>
      </c>
      <c r="AI9" s="45" t="s">
        <v>69</v>
      </c>
      <c r="AJ9" s="158" t="s">
        <v>101</v>
      </c>
      <c r="AK9" s="158" t="s">
        <v>102</v>
      </c>
    </row>
    <row r="10" spans="1:37" ht="15.75" x14ac:dyDescent="0.25">
      <c r="A10" s="134">
        <v>1</v>
      </c>
      <c r="B10" s="137">
        <v>2</v>
      </c>
      <c r="C10" s="136">
        <v>3</v>
      </c>
      <c r="D10" s="137">
        <v>4</v>
      </c>
      <c r="E10" s="136">
        <v>5</v>
      </c>
      <c r="F10" s="137">
        <v>6</v>
      </c>
      <c r="G10" s="136">
        <v>7</v>
      </c>
      <c r="H10" s="137">
        <v>8</v>
      </c>
      <c r="I10" s="136">
        <v>9</v>
      </c>
      <c r="J10" s="137">
        <v>10</v>
      </c>
      <c r="K10" s="136">
        <v>11</v>
      </c>
      <c r="L10" s="137">
        <v>12</v>
      </c>
      <c r="M10" s="136">
        <v>13</v>
      </c>
      <c r="N10" s="133">
        <v>14</v>
      </c>
      <c r="O10" s="137">
        <v>15</v>
      </c>
      <c r="P10" s="137">
        <f>O10+1</f>
        <v>16</v>
      </c>
      <c r="Q10" s="137">
        <f t="shared" ref="Q10:AD10" si="0">P10+1</f>
        <v>17</v>
      </c>
      <c r="R10" s="137">
        <f t="shared" si="0"/>
        <v>18</v>
      </c>
      <c r="S10" s="137">
        <f t="shared" si="0"/>
        <v>19</v>
      </c>
      <c r="T10" s="137">
        <f t="shared" si="0"/>
        <v>20</v>
      </c>
      <c r="U10" s="137">
        <f t="shared" si="0"/>
        <v>21</v>
      </c>
      <c r="V10" s="137">
        <f t="shared" si="0"/>
        <v>22</v>
      </c>
      <c r="W10" s="137">
        <f t="shared" si="0"/>
        <v>23</v>
      </c>
      <c r="X10" s="137">
        <f t="shared" si="0"/>
        <v>24</v>
      </c>
      <c r="Y10" s="137">
        <f t="shared" si="0"/>
        <v>25</v>
      </c>
      <c r="Z10" s="137">
        <f t="shared" si="0"/>
        <v>26</v>
      </c>
      <c r="AA10" s="137">
        <f t="shared" si="0"/>
        <v>27</v>
      </c>
      <c r="AB10" s="137">
        <f t="shared" si="0"/>
        <v>28</v>
      </c>
      <c r="AC10" s="137">
        <f t="shared" si="0"/>
        <v>29</v>
      </c>
      <c r="AD10" s="137">
        <f t="shared" si="0"/>
        <v>30</v>
      </c>
      <c r="AE10" s="137">
        <f>AF10+1</f>
        <v>32</v>
      </c>
      <c r="AF10" s="137">
        <f>AD10+1</f>
        <v>31</v>
      </c>
      <c r="AG10" s="15"/>
      <c r="AH10" s="46"/>
      <c r="AI10" s="4"/>
    </row>
    <row r="11" spans="1:37" ht="78.75" x14ac:dyDescent="0.25">
      <c r="A11" s="123" t="s">
        <v>35</v>
      </c>
      <c r="B11" s="139" t="s">
        <v>36</v>
      </c>
      <c r="C11" s="139" t="s">
        <v>37</v>
      </c>
      <c r="D11" s="58" t="s">
        <v>38</v>
      </c>
      <c r="E11" s="122">
        <v>106614</v>
      </c>
      <c r="F11" s="80">
        <f t="shared" ref="F11:F43" si="1">SUM(G11,M11,Q11,R11,S11,T11,V11,W11,X11,AD11,P11,U11)</f>
        <v>4016.8399999999997</v>
      </c>
      <c r="G11" s="80">
        <f t="shared" ref="G11:G43" si="2">SUM(H11:L11)</f>
        <v>1675.63</v>
      </c>
      <c r="H11" s="80">
        <v>1286.97</v>
      </c>
      <c r="I11" s="80">
        <v>0</v>
      </c>
      <c r="J11" s="80">
        <v>0</v>
      </c>
      <c r="K11" s="80">
        <f t="shared" ref="K11:K43" si="3">ROUND(H11*0.302,2)</f>
        <v>388.66</v>
      </c>
      <c r="L11" s="80"/>
      <c r="M11" s="80">
        <v>201.6</v>
      </c>
      <c r="N11" s="80">
        <v>0</v>
      </c>
      <c r="O11" s="80">
        <v>63.32</v>
      </c>
      <c r="P11" s="80">
        <v>0</v>
      </c>
      <c r="Q11" s="80">
        <v>1.03</v>
      </c>
      <c r="R11" s="80">
        <v>189.47</v>
      </c>
      <c r="S11" s="80">
        <v>88.74</v>
      </c>
      <c r="T11" s="80">
        <v>466.4</v>
      </c>
      <c r="U11" s="80">
        <v>0</v>
      </c>
      <c r="V11" s="80">
        <v>17.91</v>
      </c>
      <c r="W11" s="80">
        <v>0</v>
      </c>
      <c r="X11" s="80">
        <f t="shared" ref="X11:X43" si="4">SUM(Y11:AC11)</f>
        <v>1313.7</v>
      </c>
      <c r="Y11" s="80">
        <v>1008.99</v>
      </c>
      <c r="Z11" s="80">
        <v>0</v>
      </c>
      <c r="AA11" s="80">
        <v>0</v>
      </c>
      <c r="AB11" s="80">
        <f t="shared" ref="AB11:AB43" si="5">ROUND(Y11*0.302,2)</f>
        <v>304.70999999999998</v>
      </c>
      <c r="AC11" s="80">
        <v>0</v>
      </c>
      <c r="AD11" s="175">
        <f>63.48-1.12</f>
        <v>62.36</v>
      </c>
      <c r="AE11" s="80">
        <f t="shared" ref="AE11:AE43" si="6">ROUND(E11*F11/1000,1)</f>
        <v>428251.4</v>
      </c>
      <c r="AF11" s="172">
        <v>788.6</v>
      </c>
      <c r="AG11" s="80">
        <f>SUM(AE11:AF13)</f>
        <v>436917.69999999995</v>
      </c>
      <c r="AH11" s="47"/>
      <c r="AI11" s="55"/>
      <c r="AJ11" s="179">
        <v>437009.68744000001</v>
      </c>
      <c r="AK11" s="179">
        <f>AG11-AJ11</f>
        <v>-91.987440000055358</v>
      </c>
    </row>
    <row r="12" spans="1:37" ht="63" x14ac:dyDescent="0.25">
      <c r="A12" s="123" t="s">
        <v>35</v>
      </c>
      <c r="B12" s="139" t="s">
        <v>39</v>
      </c>
      <c r="C12" s="139" t="s">
        <v>40</v>
      </c>
      <c r="D12" s="58" t="s">
        <v>38</v>
      </c>
      <c r="E12" s="122">
        <v>215</v>
      </c>
      <c r="F12" s="80">
        <f t="shared" si="1"/>
        <v>31193.420000000002</v>
      </c>
      <c r="G12" s="80">
        <f t="shared" si="2"/>
        <v>26973.53</v>
      </c>
      <c r="H12" s="80">
        <v>20717</v>
      </c>
      <c r="I12" s="80">
        <v>0</v>
      </c>
      <c r="J12" s="80">
        <v>0</v>
      </c>
      <c r="K12" s="80">
        <f t="shared" si="3"/>
        <v>6256.53</v>
      </c>
      <c r="L12" s="80"/>
      <c r="M12" s="80">
        <v>239.46</v>
      </c>
      <c r="N12" s="80">
        <v>0</v>
      </c>
      <c r="O12" s="80">
        <v>38.11</v>
      </c>
      <c r="P12" s="80">
        <v>0</v>
      </c>
      <c r="Q12" s="80">
        <v>53.04</v>
      </c>
      <c r="R12" s="80">
        <v>113.1</v>
      </c>
      <c r="S12" s="80">
        <v>540.13</v>
      </c>
      <c r="T12" s="80">
        <v>226.11</v>
      </c>
      <c r="U12" s="80">
        <v>0</v>
      </c>
      <c r="V12" s="80">
        <v>12.63</v>
      </c>
      <c r="W12" s="80">
        <v>0</v>
      </c>
      <c r="X12" s="80">
        <f t="shared" si="4"/>
        <v>2485.36</v>
      </c>
      <c r="Y12" s="80">
        <v>1908.88</v>
      </c>
      <c r="Z12" s="80">
        <v>0</v>
      </c>
      <c r="AA12" s="80">
        <v>0</v>
      </c>
      <c r="AB12" s="80">
        <f t="shared" si="5"/>
        <v>576.48</v>
      </c>
      <c r="AC12" s="80">
        <v>0</v>
      </c>
      <c r="AD12" s="80">
        <v>550.05999999999995</v>
      </c>
      <c r="AE12" s="80">
        <f t="shared" si="6"/>
        <v>6706.6</v>
      </c>
      <c r="AF12" s="159">
        <v>0</v>
      </c>
      <c r="AG12" s="80"/>
      <c r="AH12" s="47"/>
      <c r="AI12" s="55"/>
      <c r="AJ12" s="179"/>
      <c r="AK12" s="179"/>
    </row>
    <row r="13" spans="1:37" ht="45" x14ac:dyDescent="0.25">
      <c r="A13" s="154" t="s">
        <v>35</v>
      </c>
      <c r="B13" s="139" t="s">
        <v>41</v>
      </c>
      <c r="C13" s="140" t="s">
        <v>42</v>
      </c>
      <c r="D13" s="58" t="s">
        <v>38</v>
      </c>
      <c r="E13" s="122">
        <v>10</v>
      </c>
      <c r="F13" s="80">
        <f t="shared" si="1"/>
        <v>117108.04</v>
      </c>
      <c r="G13" s="80">
        <f t="shared" si="2"/>
        <v>75534.01999999999</v>
      </c>
      <c r="H13" s="80">
        <v>58013.84</v>
      </c>
      <c r="I13" s="80">
        <v>0</v>
      </c>
      <c r="J13" s="80">
        <v>0</v>
      </c>
      <c r="K13" s="80">
        <f t="shared" si="3"/>
        <v>17520.18</v>
      </c>
      <c r="L13" s="80"/>
      <c r="M13" s="80">
        <v>880.7</v>
      </c>
      <c r="N13" s="80">
        <v>0</v>
      </c>
      <c r="O13" s="80">
        <v>80.180000000000007</v>
      </c>
      <c r="P13" s="80">
        <v>0</v>
      </c>
      <c r="Q13" s="80">
        <v>11936.42</v>
      </c>
      <c r="R13" s="80">
        <v>446.6</v>
      </c>
      <c r="S13" s="80">
        <v>1177.6500000000001</v>
      </c>
      <c r="T13" s="80">
        <v>13781.9</v>
      </c>
      <c r="U13" s="80">
        <v>0</v>
      </c>
      <c r="V13" s="80">
        <v>64.709999999999994</v>
      </c>
      <c r="W13" s="80">
        <v>0</v>
      </c>
      <c r="X13" s="80">
        <f t="shared" si="4"/>
        <v>10715.02</v>
      </c>
      <c r="Y13" s="80">
        <v>8229.66</v>
      </c>
      <c r="Z13" s="80">
        <v>0</v>
      </c>
      <c r="AA13" s="80">
        <v>0</v>
      </c>
      <c r="AB13" s="80">
        <f t="shared" si="5"/>
        <v>2485.36</v>
      </c>
      <c r="AC13" s="80">
        <v>0</v>
      </c>
      <c r="AD13" s="80">
        <v>2571.02</v>
      </c>
      <c r="AE13" s="80">
        <f t="shared" si="6"/>
        <v>1171.0999999999999</v>
      </c>
      <c r="AF13" s="159">
        <v>0</v>
      </c>
      <c r="AG13" s="80"/>
      <c r="AH13" s="47"/>
      <c r="AI13" s="55"/>
      <c r="AJ13" s="179"/>
      <c r="AK13" s="179"/>
    </row>
    <row r="14" spans="1:37" ht="78.75" x14ac:dyDescent="0.25">
      <c r="A14" s="123" t="s">
        <v>43</v>
      </c>
      <c r="B14" s="139" t="s">
        <v>36</v>
      </c>
      <c r="C14" s="139" t="s">
        <v>37</v>
      </c>
      <c r="D14" s="139" t="s">
        <v>38</v>
      </c>
      <c r="E14" s="122">
        <v>47754</v>
      </c>
      <c r="F14" s="80">
        <f t="shared" si="1"/>
        <v>4200.0199999999995</v>
      </c>
      <c r="G14" s="80">
        <f t="shared" si="2"/>
        <v>1921.66</v>
      </c>
      <c r="H14" s="3">
        <v>1475.93</v>
      </c>
      <c r="I14" s="84">
        <v>0</v>
      </c>
      <c r="J14" s="3">
        <v>0</v>
      </c>
      <c r="K14" s="20">
        <f t="shared" si="3"/>
        <v>445.73</v>
      </c>
      <c r="L14" s="3"/>
      <c r="M14" s="84">
        <v>325.42</v>
      </c>
      <c r="N14" s="84">
        <v>78.78</v>
      </c>
      <c r="O14" s="84">
        <v>3.99</v>
      </c>
      <c r="P14" s="84">
        <v>0</v>
      </c>
      <c r="Q14" s="84">
        <v>172.17</v>
      </c>
      <c r="R14" s="3">
        <v>274.17</v>
      </c>
      <c r="S14" s="84">
        <v>112.84</v>
      </c>
      <c r="T14" s="3">
        <v>90.43</v>
      </c>
      <c r="U14" s="3">
        <v>0</v>
      </c>
      <c r="V14" s="84">
        <v>19.2</v>
      </c>
      <c r="W14" s="3">
        <v>0</v>
      </c>
      <c r="X14" s="20">
        <f t="shared" si="4"/>
        <v>1121.17</v>
      </c>
      <c r="Y14" s="85">
        <v>861.11</v>
      </c>
      <c r="Z14" s="84">
        <v>0</v>
      </c>
      <c r="AA14" s="3">
        <v>0</v>
      </c>
      <c r="AB14" s="20">
        <f t="shared" si="5"/>
        <v>260.06</v>
      </c>
      <c r="AC14" s="84">
        <v>0</v>
      </c>
      <c r="AD14" s="168">
        <f>162.75+0.21</f>
        <v>162.96</v>
      </c>
      <c r="AE14" s="20">
        <f t="shared" si="6"/>
        <v>200567.8</v>
      </c>
      <c r="AF14" s="173">
        <v>297.3</v>
      </c>
      <c r="AG14" s="130">
        <f>SUM(AE14:AF16)</f>
        <v>203086.59999999998</v>
      </c>
      <c r="AH14" s="55"/>
      <c r="AI14" s="55"/>
      <c r="AJ14" s="179">
        <v>203079.23740000001</v>
      </c>
      <c r="AK14" s="179">
        <f>AG14-AJ14</f>
        <v>7.3625999999640044</v>
      </c>
    </row>
    <row r="15" spans="1:37" ht="63" x14ac:dyDescent="0.25">
      <c r="A15" s="123" t="s">
        <v>43</v>
      </c>
      <c r="B15" s="139" t="s">
        <v>39</v>
      </c>
      <c r="C15" s="139" t="s">
        <v>40</v>
      </c>
      <c r="D15" s="139" t="s">
        <v>38</v>
      </c>
      <c r="E15" s="122">
        <v>60</v>
      </c>
      <c r="F15" s="80">
        <f t="shared" si="1"/>
        <v>31626.510000000002</v>
      </c>
      <c r="G15" s="80">
        <f t="shared" si="2"/>
        <v>11668.16</v>
      </c>
      <c r="H15" s="3">
        <v>8961.7199999999993</v>
      </c>
      <c r="I15" s="84">
        <v>0</v>
      </c>
      <c r="J15" s="3">
        <v>0</v>
      </c>
      <c r="K15" s="20">
        <f t="shared" si="3"/>
        <v>2706.44</v>
      </c>
      <c r="L15" s="3"/>
      <c r="M15" s="84">
        <v>218.19</v>
      </c>
      <c r="N15" s="84">
        <v>0</v>
      </c>
      <c r="O15" s="84">
        <v>4.24</v>
      </c>
      <c r="P15" s="84">
        <v>0</v>
      </c>
      <c r="Q15" s="84">
        <v>1974.63</v>
      </c>
      <c r="R15" s="3">
        <v>88.99</v>
      </c>
      <c r="S15" s="84">
        <v>25.95</v>
      </c>
      <c r="T15" s="3">
        <v>0</v>
      </c>
      <c r="U15" s="3">
        <v>0</v>
      </c>
      <c r="V15" s="84">
        <v>19.11</v>
      </c>
      <c r="W15" s="3">
        <v>16037.95</v>
      </c>
      <c r="X15" s="20">
        <f t="shared" si="4"/>
        <v>1514.62</v>
      </c>
      <c r="Y15" s="85">
        <v>1163.3</v>
      </c>
      <c r="Z15" s="84">
        <v>0</v>
      </c>
      <c r="AA15" s="3">
        <v>0</v>
      </c>
      <c r="AB15" s="20">
        <f t="shared" si="5"/>
        <v>351.32</v>
      </c>
      <c r="AC15" s="84">
        <v>0</v>
      </c>
      <c r="AD15" s="168">
        <f>77.25+1.66</f>
        <v>78.91</v>
      </c>
      <c r="AE15" s="20">
        <f t="shared" si="6"/>
        <v>1897.6</v>
      </c>
      <c r="AF15" s="84">
        <v>0</v>
      </c>
      <c r="AG15" s="3"/>
      <c r="AH15" s="55"/>
      <c r="AI15" s="55"/>
      <c r="AJ15" s="179"/>
      <c r="AK15" s="179"/>
    </row>
    <row r="16" spans="1:37" ht="47.25" x14ac:dyDescent="0.25">
      <c r="A16" s="123" t="s">
        <v>43</v>
      </c>
      <c r="B16" s="139" t="s">
        <v>41</v>
      </c>
      <c r="C16" s="139" t="s">
        <v>42</v>
      </c>
      <c r="D16" s="139" t="s">
        <v>38</v>
      </c>
      <c r="E16" s="122">
        <v>1</v>
      </c>
      <c r="F16" s="80">
        <f t="shared" si="1"/>
        <v>323871.59999999998</v>
      </c>
      <c r="G16" s="80">
        <f t="shared" si="2"/>
        <v>280421.14</v>
      </c>
      <c r="H16" s="3">
        <v>215377.22</v>
      </c>
      <c r="I16" s="84">
        <v>0</v>
      </c>
      <c r="J16" s="3">
        <v>0</v>
      </c>
      <c r="K16" s="20">
        <f t="shared" si="3"/>
        <v>65043.92</v>
      </c>
      <c r="L16" s="3"/>
      <c r="M16" s="84">
        <v>28926.1</v>
      </c>
      <c r="N16" s="84">
        <v>0</v>
      </c>
      <c r="O16" s="84">
        <v>26435.22</v>
      </c>
      <c r="P16" s="84">
        <v>0</v>
      </c>
      <c r="Q16" s="84">
        <v>5500</v>
      </c>
      <c r="R16" s="3">
        <v>467.81</v>
      </c>
      <c r="S16" s="84">
        <v>176.83</v>
      </c>
      <c r="T16" s="3">
        <v>0</v>
      </c>
      <c r="U16" s="3">
        <v>0</v>
      </c>
      <c r="V16" s="84">
        <v>23.67</v>
      </c>
      <c r="W16" s="3">
        <v>0</v>
      </c>
      <c r="X16" s="20">
        <f t="shared" si="4"/>
        <v>7396.9500000000007</v>
      </c>
      <c r="Y16" s="85">
        <v>5681.22</v>
      </c>
      <c r="Z16" s="84">
        <v>0</v>
      </c>
      <c r="AA16" s="3">
        <v>0</v>
      </c>
      <c r="AB16" s="20">
        <f t="shared" si="5"/>
        <v>1715.73</v>
      </c>
      <c r="AC16" s="84">
        <v>0</v>
      </c>
      <c r="AD16" s="84">
        <v>959.1</v>
      </c>
      <c r="AE16" s="20">
        <f t="shared" si="6"/>
        <v>323.89999999999998</v>
      </c>
      <c r="AF16" s="84">
        <v>0</v>
      </c>
      <c r="AG16" s="3"/>
      <c r="AH16" s="55"/>
      <c r="AI16" s="55"/>
      <c r="AJ16" s="179"/>
      <c r="AK16" s="179"/>
    </row>
    <row r="17" spans="1:37" ht="78.75" x14ac:dyDescent="0.25">
      <c r="A17" s="123" t="s">
        <v>44</v>
      </c>
      <c r="B17" s="139" t="s">
        <v>36</v>
      </c>
      <c r="C17" s="139" t="s">
        <v>37</v>
      </c>
      <c r="D17" s="139" t="s">
        <v>45</v>
      </c>
      <c r="E17" s="188">
        <v>111102</v>
      </c>
      <c r="F17" s="80">
        <f t="shared" si="1"/>
        <v>3014.8500000000004</v>
      </c>
      <c r="G17" s="80">
        <f t="shared" si="2"/>
        <v>1278.72</v>
      </c>
      <c r="H17" s="3">
        <v>982.12</v>
      </c>
      <c r="I17" s="84">
        <v>0</v>
      </c>
      <c r="J17" s="3">
        <v>0</v>
      </c>
      <c r="K17" s="20">
        <f t="shared" si="3"/>
        <v>296.60000000000002</v>
      </c>
      <c r="L17" s="3"/>
      <c r="M17" s="84">
        <v>203.17</v>
      </c>
      <c r="N17" s="84">
        <v>0.03</v>
      </c>
      <c r="O17" s="84">
        <v>56.81</v>
      </c>
      <c r="P17" s="84">
        <v>0</v>
      </c>
      <c r="Q17" s="84">
        <v>47.59</v>
      </c>
      <c r="R17" s="3">
        <v>136.66</v>
      </c>
      <c r="S17" s="84">
        <v>330.2</v>
      </c>
      <c r="T17" s="3">
        <v>35.43</v>
      </c>
      <c r="U17" s="3">
        <v>0</v>
      </c>
      <c r="V17" s="84">
        <v>39.049999999999997</v>
      </c>
      <c r="W17" s="3">
        <v>0</v>
      </c>
      <c r="X17" s="20">
        <f t="shared" si="4"/>
        <v>899.5</v>
      </c>
      <c r="Y17" s="85">
        <v>690.86</v>
      </c>
      <c r="Z17" s="84">
        <v>0</v>
      </c>
      <c r="AA17" s="3">
        <v>0</v>
      </c>
      <c r="AB17" s="20">
        <f t="shared" si="5"/>
        <v>208.64</v>
      </c>
      <c r="AC17" s="84">
        <v>0</v>
      </c>
      <c r="AD17" s="168">
        <f>57.55-13.02</f>
        <v>44.53</v>
      </c>
      <c r="AE17" s="20">
        <f t="shared" si="6"/>
        <v>334955.90000000002</v>
      </c>
      <c r="AF17" s="173">
        <v>398.4</v>
      </c>
      <c r="AG17" s="3">
        <f>SUM(AE17:AF19)</f>
        <v>342117.80000000005</v>
      </c>
      <c r="AH17" s="55"/>
      <c r="AI17" s="55"/>
      <c r="AJ17" s="179">
        <v>342116.9</v>
      </c>
      <c r="AK17" s="179">
        <f>AG17-AJ17</f>
        <v>0.90000000002328306</v>
      </c>
    </row>
    <row r="18" spans="1:37" ht="63" x14ac:dyDescent="0.25">
      <c r="A18" s="123" t="s">
        <v>44</v>
      </c>
      <c r="B18" s="139" t="s">
        <v>39</v>
      </c>
      <c r="C18" s="139" t="s">
        <v>40</v>
      </c>
      <c r="D18" s="139" t="s">
        <v>45</v>
      </c>
      <c r="E18" s="122">
        <v>354</v>
      </c>
      <c r="F18" s="80">
        <f t="shared" si="1"/>
        <v>19105.870000000003</v>
      </c>
      <c r="G18" s="80">
        <f t="shared" si="2"/>
        <v>12025.48</v>
      </c>
      <c r="H18" s="3">
        <v>9236.16</v>
      </c>
      <c r="I18" s="84">
        <v>0</v>
      </c>
      <c r="J18" s="3">
        <v>0</v>
      </c>
      <c r="K18" s="20">
        <f t="shared" si="3"/>
        <v>2789.32</v>
      </c>
      <c r="L18" s="3"/>
      <c r="M18" s="84">
        <v>700.4</v>
      </c>
      <c r="N18" s="84">
        <v>0</v>
      </c>
      <c r="O18" s="84">
        <v>487.07</v>
      </c>
      <c r="P18" s="84">
        <v>0</v>
      </c>
      <c r="Q18" s="84">
        <v>466.67</v>
      </c>
      <c r="R18" s="3">
        <v>410.47</v>
      </c>
      <c r="S18" s="84">
        <v>1291.3499999999999</v>
      </c>
      <c r="T18" s="3">
        <v>0</v>
      </c>
      <c r="U18" s="3">
        <v>0</v>
      </c>
      <c r="V18" s="84">
        <v>137.66999999999999</v>
      </c>
      <c r="W18" s="3">
        <v>0</v>
      </c>
      <c r="X18" s="20">
        <f t="shared" si="4"/>
        <v>3140.5</v>
      </c>
      <c r="Y18" s="85">
        <v>2412.06</v>
      </c>
      <c r="Z18" s="84">
        <v>0</v>
      </c>
      <c r="AA18" s="3">
        <v>0</v>
      </c>
      <c r="AB18" s="20">
        <f t="shared" si="5"/>
        <v>728.44</v>
      </c>
      <c r="AC18" s="84">
        <v>0</v>
      </c>
      <c r="AD18" s="84">
        <v>933.33</v>
      </c>
      <c r="AE18" s="20">
        <f t="shared" si="6"/>
        <v>6763.5</v>
      </c>
      <c r="AF18" s="84">
        <v>0</v>
      </c>
      <c r="AG18" s="3"/>
      <c r="AH18" s="166" t="s">
        <v>99</v>
      </c>
      <c r="AI18" s="55"/>
      <c r="AJ18" s="179"/>
      <c r="AK18" s="179"/>
    </row>
    <row r="19" spans="1:37" ht="47.25" x14ac:dyDescent="0.25">
      <c r="A19" s="123" t="s">
        <v>44</v>
      </c>
      <c r="B19" s="139" t="s">
        <v>41</v>
      </c>
      <c r="C19" s="139" t="s">
        <v>42</v>
      </c>
      <c r="D19" s="139" t="s">
        <v>38</v>
      </c>
      <c r="E19" s="122">
        <v>0</v>
      </c>
      <c r="F19" s="80">
        <f t="shared" si="1"/>
        <v>0</v>
      </c>
      <c r="G19" s="80">
        <f t="shared" si="2"/>
        <v>0</v>
      </c>
      <c r="H19" s="3">
        <v>0</v>
      </c>
      <c r="I19" s="84">
        <v>0</v>
      </c>
      <c r="J19" s="3">
        <v>0</v>
      </c>
      <c r="K19" s="20">
        <f t="shared" si="3"/>
        <v>0</v>
      </c>
      <c r="L19" s="3"/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3">
        <v>0</v>
      </c>
      <c r="S19" s="84">
        <v>0</v>
      </c>
      <c r="T19" s="3">
        <v>0</v>
      </c>
      <c r="U19" s="3">
        <v>0</v>
      </c>
      <c r="V19" s="84">
        <v>0</v>
      </c>
      <c r="W19" s="3">
        <v>0</v>
      </c>
      <c r="X19" s="20">
        <f t="shared" si="4"/>
        <v>0</v>
      </c>
      <c r="Y19" s="85">
        <v>0</v>
      </c>
      <c r="Z19" s="84">
        <v>0</v>
      </c>
      <c r="AA19" s="3">
        <v>0</v>
      </c>
      <c r="AB19" s="20">
        <f t="shared" si="5"/>
        <v>0</v>
      </c>
      <c r="AC19" s="84">
        <v>0</v>
      </c>
      <c r="AD19" s="84">
        <v>0</v>
      </c>
      <c r="AE19" s="20">
        <f t="shared" si="6"/>
        <v>0</v>
      </c>
      <c r="AF19" s="84">
        <v>0</v>
      </c>
      <c r="AG19" s="3"/>
      <c r="AH19" s="55"/>
      <c r="AI19" s="55"/>
      <c r="AJ19" s="179"/>
      <c r="AK19" s="179"/>
    </row>
    <row r="20" spans="1:37" ht="78.75" x14ac:dyDescent="0.25">
      <c r="A20" s="123" t="s">
        <v>46</v>
      </c>
      <c r="B20" s="141" t="s">
        <v>36</v>
      </c>
      <c r="C20" s="139" t="s">
        <v>37</v>
      </c>
      <c r="D20" s="141" t="s">
        <v>45</v>
      </c>
      <c r="E20" s="186">
        <f>27222+10326</f>
        <v>37548</v>
      </c>
      <c r="F20" s="80">
        <f t="shared" si="1"/>
        <v>8385.7299999999977</v>
      </c>
      <c r="G20" s="80">
        <f t="shared" si="2"/>
        <v>4715.29</v>
      </c>
      <c r="H20" s="3">
        <v>3569.64</v>
      </c>
      <c r="I20" s="84">
        <v>0</v>
      </c>
      <c r="J20" s="3">
        <v>0</v>
      </c>
      <c r="K20" s="20">
        <f t="shared" si="3"/>
        <v>1078.03</v>
      </c>
      <c r="L20" s="3">
        <v>67.62</v>
      </c>
      <c r="M20" s="84">
        <v>720.18</v>
      </c>
      <c r="N20" s="84">
        <v>153.13</v>
      </c>
      <c r="O20" s="84">
        <v>22.19</v>
      </c>
      <c r="P20" s="84">
        <v>0</v>
      </c>
      <c r="Q20" s="84">
        <v>0</v>
      </c>
      <c r="R20" s="3">
        <v>280.41000000000003</v>
      </c>
      <c r="S20" s="84">
        <v>471.28</v>
      </c>
      <c r="T20" s="3">
        <v>592.61</v>
      </c>
      <c r="U20" s="3">
        <v>0</v>
      </c>
      <c r="V20" s="84">
        <v>9.7100000000000009</v>
      </c>
      <c r="W20" s="3">
        <v>0</v>
      </c>
      <c r="X20" s="20">
        <f t="shared" si="4"/>
        <v>1540.62</v>
      </c>
      <c r="Y20" s="85">
        <v>1183.27</v>
      </c>
      <c r="Z20" s="84">
        <v>0</v>
      </c>
      <c r="AA20" s="3">
        <v>0</v>
      </c>
      <c r="AB20" s="20">
        <f t="shared" si="5"/>
        <v>357.35</v>
      </c>
      <c r="AC20" s="84">
        <v>0</v>
      </c>
      <c r="AD20" s="168">
        <f>60.55-4.92</f>
        <v>55.629999999999995</v>
      </c>
      <c r="AE20" s="20">
        <f t="shared" si="6"/>
        <v>314867.40000000002</v>
      </c>
      <c r="AF20" s="173">
        <v>93.5</v>
      </c>
      <c r="AG20" s="3">
        <f>SUM(AE20:AF22)</f>
        <v>318034</v>
      </c>
      <c r="AH20" s="55"/>
      <c r="AI20" s="55"/>
      <c r="AJ20" s="179">
        <v>316796.42210279999</v>
      </c>
      <c r="AK20" s="179">
        <f>AG20-AJ20</f>
        <v>1237.5778972000116</v>
      </c>
    </row>
    <row r="21" spans="1:37" ht="63" x14ac:dyDescent="0.25">
      <c r="A21" s="123" t="s">
        <v>46</v>
      </c>
      <c r="B21" s="141" t="s">
        <v>39</v>
      </c>
      <c r="C21" s="139" t="s">
        <v>40</v>
      </c>
      <c r="D21" s="141" t="s">
        <v>45</v>
      </c>
      <c r="E21" s="186">
        <f>96+36</f>
        <v>132</v>
      </c>
      <c r="F21" s="80">
        <f t="shared" si="1"/>
        <v>23281.05</v>
      </c>
      <c r="G21" s="80">
        <f t="shared" si="2"/>
        <v>12025.119999999999</v>
      </c>
      <c r="H21" s="3">
        <v>8668.52</v>
      </c>
      <c r="I21" s="84">
        <v>0</v>
      </c>
      <c r="J21" s="3">
        <v>0</v>
      </c>
      <c r="K21" s="20">
        <f t="shared" si="3"/>
        <v>2617.89</v>
      </c>
      <c r="L21" s="3">
        <v>738.71</v>
      </c>
      <c r="M21" s="84">
        <v>723.67</v>
      </c>
      <c r="N21" s="84">
        <v>416.67</v>
      </c>
      <c r="O21" s="84">
        <v>0</v>
      </c>
      <c r="P21" s="84">
        <v>0</v>
      </c>
      <c r="Q21" s="84">
        <v>0</v>
      </c>
      <c r="R21" s="3">
        <v>2416.19</v>
      </c>
      <c r="S21" s="84">
        <v>0</v>
      </c>
      <c r="T21" s="3">
        <v>0</v>
      </c>
      <c r="U21" s="3">
        <v>0</v>
      </c>
      <c r="V21" s="84">
        <v>40.51</v>
      </c>
      <c r="W21" s="3">
        <v>0</v>
      </c>
      <c r="X21" s="20">
        <f t="shared" si="4"/>
        <v>8075.56</v>
      </c>
      <c r="Y21" s="85">
        <v>6202.43</v>
      </c>
      <c r="Z21" s="84">
        <v>0</v>
      </c>
      <c r="AA21" s="3">
        <v>0</v>
      </c>
      <c r="AB21" s="20">
        <f t="shared" si="5"/>
        <v>1873.13</v>
      </c>
      <c r="AC21" s="84">
        <v>0</v>
      </c>
      <c r="AD21" s="84">
        <v>0</v>
      </c>
      <c r="AE21" s="20">
        <f t="shared" si="6"/>
        <v>3073.1</v>
      </c>
      <c r="AF21" s="84">
        <v>0</v>
      </c>
      <c r="AG21" s="3"/>
      <c r="AH21" s="55"/>
      <c r="AI21" s="55"/>
      <c r="AJ21" s="179"/>
      <c r="AK21" s="179"/>
    </row>
    <row r="22" spans="1:37" ht="47.25" x14ac:dyDescent="0.25">
      <c r="A22" s="123" t="s">
        <v>46</v>
      </c>
      <c r="B22" s="139" t="s">
        <v>41</v>
      </c>
      <c r="C22" s="139" t="s">
        <v>42</v>
      </c>
      <c r="D22" s="141" t="s">
        <v>38</v>
      </c>
      <c r="E22" s="122">
        <v>0</v>
      </c>
      <c r="F22" s="80">
        <f t="shared" si="1"/>
        <v>0</v>
      </c>
      <c r="G22" s="80">
        <f t="shared" si="2"/>
        <v>0</v>
      </c>
      <c r="H22" s="3">
        <v>0</v>
      </c>
      <c r="I22" s="84">
        <v>0</v>
      </c>
      <c r="J22" s="3">
        <v>0</v>
      </c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3">
        <v>0</v>
      </c>
      <c r="S22" s="84">
        <v>0</v>
      </c>
      <c r="T22" s="3">
        <v>0</v>
      </c>
      <c r="U22" s="3">
        <v>0</v>
      </c>
      <c r="V22" s="84">
        <v>0</v>
      </c>
      <c r="W22" s="3">
        <v>0</v>
      </c>
      <c r="X22" s="20">
        <f t="shared" si="4"/>
        <v>0</v>
      </c>
      <c r="Y22" s="85">
        <v>0</v>
      </c>
      <c r="Z22" s="84">
        <v>0</v>
      </c>
      <c r="AA22" s="3">
        <v>0</v>
      </c>
      <c r="AB22" s="20">
        <f t="shared" si="5"/>
        <v>0</v>
      </c>
      <c r="AC22" s="84">
        <v>0</v>
      </c>
      <c r="AD22" s="84">
        <v>0</v>
      </c>
      <c r="AE22" s="20">
        <f t="shared" si="6"/>
        <v>0</v>
      </c>
      <c r="AF22" s="84">
        <v>0</v>
      </c>
      <c r="AG22" s="3"/>
      <c r="AH22" s="55"/>
      <c r="AI22" s="55"/>
      <c r="AJ22" s="179"/>
      <c r="AK22" s="179"/>
    </row>
    <row r="23" spans="1:37" ht="78.75" x14ac:dyDescent="0.25">
      <c r="A23" s="123" t="s">
        <v>47</v>
      </c>
      <c r="B23" s="139" t="s">
        <v>36</v>
      </c>
      <c r="C23" s="139" t="s">
        <v>37</v>
      </c>
      <c r="D23" s="142" t="s">
        <v>38</v>
      </c>
      <c r="E23" s="143">
        <v>43300</v>
      </c>
      <c r="F23" s="80">
        <f t="shared" si="1"/>
        <v>5750</v>
      </c>
      <c r="G23" s="80">
        <f t="shared" si="2"/>
        <v>3419.2599999999998</v>
      </c>
      <c r="H23" s="20">
        <v>2626.16</v>
      </c>
      <c r="I23" s="25">
        <v>0</v>
      </c>
      <c r="J23" s="25">
        <v>0</v>
      </c>
      <c r="K23" s="20">
        <f t="shared" si="3"/>
        <v>793.1</v>
      </c>
      <c r="L23" s="25">
        <v>0</v>
      </c>
      <c r="M23" s="21">
        <v>636.49</v>
      </c>
      <c r="N23" s="25">
        <v>602.1</v>
      </c>
      <c r="O23" s="25">
        <v>34.39</v>
      </c>
      <c r="P23" s="26">
        <v>0</v>
      </c>
      <c r="Q23" s="25">
        <v>255.07</v>
      </c>
      <c r="R23" s="25">
        <v>170.18</v>
      </c>
      <c r="S23" s="25">
        <v>285.17</v>
      </c>
      <c r="T23" s="25">
        <v>8.9</v>
      </c>
      <c r="U23" s="20">
        <v>0</v>
      </c>
      <c r="V23" s="25">
        <v>23.61</v>
      </c>
      <c r="W23" s="25">
        <v>41.67</v>
      </c>
      <c r="X23" s="20">
        <f t="shared" si="4"/>
        <v>895.13</v>
      </c>
      <c r="Y23" s="27">
        <v>687.5</v>
      </c>
      <c r="Z23" s="27">
        <v>0</v>
      </c>
      <c r="AA23" s="27">
        <v>0</v>
      </c>
      <c r="AB23" s="20">
        <f t="shared" si="5"/>
        <v>207.63</v>
      </c>
      <c r="AC23" s="25">
        <v>0</v>
      </c>
      <c r="AD23" s="176">
        <f>23.67-9.15</f>
        <v>14.520000000000001</v>
      </c>
      <c r="AE23" s="20">
        <f t="shared" si="6"/>
        <v>248975</v>
      </c>
      <c r="AF23" s="174">
        <v>324.3</v>
      </c>
      <c r="AG23" s="237">
        <f>ROUND(AE23+AE24+AE25+AF23,1)</f>
        <v>255901.6</v>
      </c>
      <c r="AH23" s="47">
        <f t="shared" ref="AH23:AH25" si="7">(G23+X23)*E23/1000</f>
        <v>186813.08699999997</v>
      </c>
      <c r="AI23" s="55">
        <v>80329.582241999989</v>
      </c>
      <c r="AJ23" s="179">
        <v>256267.7</v>
      </c>
      <c r="AK23" s="179">
        <f>AG23-AJ23</f>
        <v>-366.10000000000582</v>
      </c>
    </row>
    <row r="24" spans="1:37" ht="63" x14ac:dyDescent="0.25">
      <c r="A24" s="123" t="s">
        <v>47</v>
      </c>
      <c r="B24" s="139" t="s">
        <v>39</v>
      </c>
      <c r="C24" s="139" t="s">
        <v>40</v>
      </c>
      <c r="D24" s="142" t="s">
        <v>38</v>
      </c>
      <c r="E24" s="143">
        <v>220</v>
      </c>
      <c r="F24" s="80">
        <f t="shared" si="1"/>
        <v>15684.46</v>
      </c>
      <c r="G24" s="80">
        <f t="shared" si="2"/>
        <v>11247.929999999998</v>
      </c>
      <c r="H24" s="20">
        <v>8638.9599999999991</v>
      </c>
      <c r="I24" s="25">
        <v>0</v>
      </c>
      <c r="J24" s="25">
        <v>0</v>
      </c>
      <c r="K24" s="20">
        <f t="shared" si="3"/>
        <v>2608.9699999999998</v>
      </c>
      <c r="L24" s="25">
        <v>0</v>
      </c>
      <c r="M24" s="25">
        <v>1149.3699999999999</v>
      </c>
      <c r="N24" s="25">
        <v>0</v>
      </c>
      <c r="O24" s="25">
        <v>0</v>
      </c>
      <c r="P24" s="26">
        <v>0</v>
      </c>
      <c r="Q24" s="25">
        <v>1847.73</v>
      </c>
      <c r="R24" s="25">
        <v>170.18</v>
      </c>
      <c r="S24" s="25">
        <v>285.17</v>
      </c>
      <c r="T24" s="25">
        <v>0</v>
      </c>
      <c r="U24" s="20">
        <v>0</v>
      </c>
      <c r="V24" s="25">
        <v>23.61</v>
      </c>
      <c r="W24" s="25">
        <v>41.67</v>
      </c>
      <c r="X24" s="20">
        <f t="shared" si="4"/>
        <v>895.13</v>
      </c>
      <c r="Y24" s="27">
        <v>687.5</v>
      </c>
      <c r="Z24" s="27">
        <v>0</v>
      </c>
      <c r="AA24" s="27">
        <v>0</v>
      </c>
      <c r="AB24" s="20">
        <f t="shared" si="5"/>
        <v>207.63</v>
      </c>
      <c r="AC24" s="25">
        <v>0</v>
      </c>
      <c r="AD24" s="25">
        <v>23.67</v>
      </c>
      <c r="AE24" s="20">
        <f t="shared" si="6"/>
        <v>3450.6</v>
      </c>
      <c r="AF24" s="160">
        <v>0</v>
      </c>
      <c r="AG24" s="237"/>
      <c r="AH24" s="47">
        <f t="shared" si="7"/>
        <v>2671.4731999999995</v>
      </c>
      <c r="AI24" s="55">
        <v>2678.9424660000004</v>
      </c>
      <c r="AJ24" s="179"/>
      <c r="AK24" s="179"/>
    </row>
    <row r="25" spans="1:37" ht="45" x14ac:dyDescent="0.25">
      <c r="A25" s="123" t="s">
        <v>47</v>
      </c>
      <c r="B25" s="139" t="s">
        <v>41</v>
      </c>
      <c r="C25" s="140" t="s">
        <v>42</v>
      </c>
      <c r="D25" s="142" t="s">
        <v>38</v>
      </c>
      <c r="E25" s="143">
        <v>30</v>
      </c>
      <c r="F25" s="80">
        <f t="shared" si="1"/>
        <v>105055.37000000001</v>
      </c>
      <c r="G25" s="80">
        <f t="shared" si="2"/>
        <v>78950.510000000009</v>
      </c>
      <c r="H25" s="20">
        <v>60637.87</v>
      </c>
      <c r="I25" s="20">
        <v>0</v>
      </c>
      <c r="J25" s="20">
        <v>0</v>
      </c>
      <c r="K25" s="20">
        <f t="shared" si="3"/>
        <v>18312.64</v>
      </c>
      <c r="L25" s="20">
        <v>0</v>
      </c>
      <c r="M25" s="20">
        <v>684.66</v>
      </c>
      <c r="N25" s="20">
        <v>0</v>
      </c>
      <c r="O25" s="20">
        <v>0</v>
      </c>
      <c r="P25" s="20">
        <v>0</v>
      </c>
      <c r="Q25" s="20">
        <v>23980.77</v>
      </c>
      <c r="R25" s="20">
        <v>170.18</v>
      </c>
      <c r="S25" s="20">
        <v>285.17</v>
      </c>
      <c r="T25" s="20">
        <v>0</v>
      </c>
      <c r="U25" s="20">
        <v>0</v>
      </c>
      <c r="V25" s="20">
        <v>23.61</v>
      </c>
      <c r="W25" s="27">
        <v>41.67</v>
      </c>
      <c r="X25" s="20">
        <f t="shared" si="4"/>
        <v>895.13</v>
      </c>
      <c r="Y25" s="27">
        <v>687.5</v>
      </c>
      <c r="Z25" s="20">
        <v>0</v>
      </c>
      <c r="AA25" s="20">
        <v>0</v>
      </c>
      <c r="AB25" s="20">
        <f t="shared" si="5"/>
        <v>207.63</v>
      </c>
      <c r="AC25" s="25">
        <v>0</v>
      </c>
      <c r="AD25" s="25">
        <v>23.67</v>
      </c>
      <c r="AE25" s="20">
        <f t="shared" si="6"/>
        <v>3151.7</v>
      </c>
      <c r="AF25" s="91">
        <v>0</v>
      </c>
      <c r="AG25" s="237"/>
      <c r="AH25" s="47">
        <f t="shared" si="7"/>
        <v>2395.3692000000001</v>
      </c>
      <c r="AI25" s="55">
        <v>2332.5985570000003</v>
      </c>
      <c r="AJ25" s="179"/>
      <c r="AK25" s="179"/>
    </row>
    <row r="26" spans="1:37" ht="78.75" x14ac:dyDescent="0.25">
      <c r="A26" s="123" t="s">
        <v>48</v>
      </c>
      <c r="B26" s="139" t="s">
        <v>49</v>
      </c>
      <c r="C26" s="139" t="s">
        <v>37</v>
      </c>
      <c r="D26" s="58" t="s">
        <v>38</v>
      </c>
      <c r="E26" s="122">
        <v>60780</v>
      </c>
      <c r="F26" s="80">
        <f t="shared" si="1"/>
        <v>4234.28</v>
      </c>
      <c r="G26" s="80">
        <f t="shared" si="2"/>
        <v>2996.2799999999997</v>
      </c>
      <c r="H26" s="3">
        <v>2301.29</v>
      </c>
      <c r="I26" s="84">
        <v>0</v>
      </c>
      <c r="J26" s="3">
        <v>0</v>
      </c>
      <c r="K26" s="20">
        <f t="shared" si="3"/>
        <v>694.99</v>
      </c>
      <c r="L26" s="3"/>
      <c r="M26" s="84">
        <v>165.85</v>
      </c>
      <c r="N26" s="84">
        <v>0</v>
      </c>
      <c r="O26" s="84">
        <v>21.51</v>
      </c>
      <c r="P26" s="84">
        <v>0</v>
      </c>
      <c r="Q26" s="84">
        <v>120.99</v>
      </c>
      <c r="R26" s="3">
        <v>81.52</v>
      </c>
      <c r="S26" s="84">
        <v>594.85</v>
      </c>
      <c r="T26" s="3">
        <v>23.83</v>
      </c>
      <c r="U26" s="3">
        <v>0</v>
      </c>
      <c r="V26" s="84">
        <v>16</v>
      </c>
      <c r="W26" s="3">
        <v>0</v>
      </c>
      <c r="X26" s="20">
        <f t="shared" si="4"/>
        <v>153.61000000000001</v>
      </c>
      <c r="Y26" s="85">
        <v>117.98</v>
      </c>
      <c r="Z26" s="84">
        <v>0</v>
      </c>
      <c r="AA26" s="3">
        <v>0</v>
      </c>
      <c r="AB26" s="20">
        <f t="shared" si="5"/>
        <v>35.630000000000003</v>
      </c>
      <c r="AC26" s="84">
        <v>0</v>
      </c>
      <c r="AD26" s="168">
        <f>82.03-0.68</f>
        <v>81.349999999999994</v>
      </c>
      <c r="AE26" s="20">
        <f t="shared" si="6"/>
        <v>257359.5</v>
      </c>
      <c r="AF26" s="173">
        <v>656.9</v>
      </c>
      <c r="AG26" s="237">
        <f>ROUND(AE26+AE27+AE28+AF26,1)</f>
        <v>260430</v>
      </c>
      <c r="AH26" s="55"/>
      <c r="AI26" s="55"/>
      <c r="AJ26" s="179">
        <v>259494.06879999995</v>
      </c>
      <c r="AK26" s="179">
        <f>AG26-AJ26</f>
        <v>935.93120000005001</v>
      </c>
    </row>
    <row r="27" spans="1:37" ht="63" x14ac:dyDescent="0.25">
      <c r="A27" s="123" t="s">
        <v>48</v>
      </c>
      <c r="B27" s="139" t="s">
        <v>50</v>
      </c>
      <c r="C27" s="139" t="s">
        <v>40</v>
      </c>
      <c r="D27" s="58" t="s">
        <v>38</v>
      </c>
      <c r="E27" s="122">
        <v>121</v>
      </c>
      <c r="F27" s="120">
        <f t="shared" si="1"/>
        <v>15565.049999999997</v>
      </c>
      <c r="G27" s="80">
        <f t="shared" si="2"/>
        <v>11517.779999999999</v>
      </c>
      <c r="H27" s="3">
        <v>8846.2199999999993</v>
      </c>
      <c r="I27" s="3">
        <v>0</v>
      </c>
      <c r="J27" s="3">
        <v>0</v>
      </c>
      <c r="K27" s="3">
        <f t="shared" si="3"/>
        <v>2671.56</v>
      </c>
      <c r="L27" s="3">
        <v>0</v>
      </c>
      <c r="M27" s="3">
        <v>2038.96</v>
      </c>
      <c r="N27" s="3">
        <v>0</v>
      </c>
      <c r="O27" s="3">
        <v>0</v>
      </c>
      <c r="P27" s="3">
        <v>0</v>
      </c>
      <c r="Q27" s="3">
        <v>0</v>
      </c>
      <c r="R27" s="3">
        <v>1816.64</v>
      </c>
      <c r="S27" s="3">
        <v>0</v>
      </c>
      <c r="T27" s="3">
        <v>191.67</v>
      </c>
      <c r="U27" s="3">
        <v>0</v>
      </c>
      <c r="V27" s="3">
        <v>0</v>
      </c>
      <c r="W27" s="3">
        <v>0</v>
      </c>
      <c r="X27" s="3">
        <f>Y27+Z27+AA27+AB27+AC27</f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20">
        <f t="shared" si="6"/>
        <v>1883.4</v>
      </c>
      <c r="AF27" s="84">
        <v>0</v>
      </c>
      <c r="AG27" s="237"/>
      <c r="AH27" s="55"/>
      <c r="AI27" s="55"/>
      <c r="AJ27" s="179"/>
      <c r="AK27" s="179"/>
    </row>
    <row r="28" spans="1:37" ht="45" x14ac:dyDescent="0.25">
      <c r="A28" s="123" t="s">
        <v>48</v>
      </c>
      <c r="B28" s="139" t="s">
        <v>41</v>
      </c>
      <c r="C28" s="140" t="s">
        <v>42</v>
      </c>
      <c r="D28" s="142" t="s">
        <v>38</v>
      </c>
      <c r="E28" s="122">
        <v>6</v>
      </c>
      <c r="F28" s="80">
        <f t="shared" si="1"/>
        <v>88361.859999999986</v>
      </c>
      <c r="G28" s="80">
        <f t="shared" si="2"/>
        <v>65387.74</v>
      </c>
      <c r="H28" s="3">
        <v>50221</v>
      </c>
      <c r="I28" s="84">
        <v>0</v>
      </c>
      <c r="J28" s="3">
        <v>0</v>
      </c>
      <c r="K28" s="20">
        <f t="shared" si="3"/>
        <v>15166.74</v>
      </c>
      <c r="L28" s="3"/>
      <c r="M28" s="84">
        <v>4350</v>
      </c>
      <c r="N28" s="84">
        <v>0</v>
      </c>
      <c r="O28" s="84">
        <v>4350</v>
      </c>
      <c r="P28" s="84">
        <v>0</v>
      </c>
      <c r="Q28" s="84">
        <v>333.33</v>
      </c>
      <c r="R28" s="3">
        <v>0</v>
      </c>
      <c r="S28" s="84">
        <v>0</v>
      </c>
      <c r="T28" s="3">
        <v>650.03</v>
      </c>
      <c r="U28" s="3">
        <v>0</v>
      </c>
      <c r="V28" s="84">
        <v>0</v>
      </c>
      <c r="W28" s="3">
        <v>0</v>
      </c>
      <c r="X28" s="20">
        <f t="shared" si="4"/>
        <v>0</v>
      </c>
      <c r="Y28" s="85">
        <v>0</v>
      </c>
      <c r="Z28" s="84">
        <v>0</v>
      </c>
      <c r="AA28" s="3">
        <v>0</v>
      </c>
      <c r="AB28" s="20">
        <f t="shared" si="5"/>
        <v>0</v>
      </c>
      <c r="AC28" s="84">
        <v>0</v>
      </c>
      <c r="AD28" s="84">
        <v>17640.759999999998</v>
      </c>
      <c r="AE28" s="20">
        <f t="shared" si="6"/>
        <v>530.20000000000005</v>
      </c>
      <c r="AF28" s="84">
        <v>0</v>
      </c>
      <c r="AG28" s="237"/>
      <c r="AH28" s="55"/>
      <c r="AI28" s="55"/>
      <c r="AJ28" s="179"/>
      <c r="AK28" s="179"/>
    </row>
    <row r="29" spans="1:37" ht="78.75" x14ac:dyDescent="0.25">
      <c r="A29" s="154" t="s">
        <v>51</v>
      </c>
      <c r="B29" s="139" t="s">
        <v>49</v>
      </c>
      <c r="C29" s="139" t="s">
        <v>37</v>
      </c>
      <c r="D29" s="144" t="s">
        <v>45</v>
      </c>
      <c r="E29" s="122">
        <v>97112</v>
      </c>
      <c r="F29" s="80">
        <f t="shared" si="1"/>
        <v>3277.49</v>
      </c>
      <c r="G29" s="80">
        <f t="shared" si="2"/>
        <v>1993.5099999999998</v>
      </c>
      <c r="H29" s="3">
        <v>1531.11</v>
      </c>
      <c r="I29" s="84">
        <v>0</v>
      </c>
      <c r="J29" s="3">
        <v>0</v>
      </c>
      <c r="K29" s="20">
        <f t="shared" si="3"/>
        <v>462.4</v>
      </c>
      <c r="L29" s="3"/>
      <c r="M29" s="84">
        <v>206.05</v>
      </c>
      <c r="N29" s="84">
        <v>16.97</v>
      </c>
      <c r="O29" s="84">
        <v>34.9</v>
      </c>
      <c r="P29" s="84">
        <v>0</v>
      </c>
      <c r="Q29" s="84">
        <v>78.92</v>
      </c>
      <c r="R29" s="3">
        <v>235.10999999999999</v>
      </c>
      <c r="S29" s="84">
        <v>216.20000000000002</v>
      </c>
      <c r="T29" s="3">
        <v>44.12</v>
      </c>
      <c r="U29" s="3">
        <v>0</v>
      </c>
      <c r="V29" s="84">
        <v>30.45</v>
      </c>
      <c r="W29" s="3">
        <v>0</v>
      </c>
      <c r="X29" s="20">
        <f t="shared" si="4"/>
        <v>461.75</v>
      </c>
      <c r="Y29" s="85">
        <v>354.65</v>
      </c>
      <c r="Z29" s="84">
        <v>0</v>
      </c>
      <c r="AA29" s="3">
        <v>0</v>
      </c>
      <c r="AB29" s="20">
        <f t="shared" si="5"/>
        <v>107.1</v>
      </c>
      <c r="AC29" s="84">
        <v>0</v>
      </c>
      <c r="AD29" s="168">
        <f>65.1-14.23-39.49</f>
        <v>11.379999999999988</v>
      </c>
      <c r="AE29" s="20">
        <f t="shared" si="6"/>
        <v>318283.59999999998</v>
      </c>
      <c r="AF29" s="173">
        <v>457</v>
      </c>
      <c r="AG29" s="237">
        <f>ROUND(AE29+AE30+AE31+AF29,1)</f>
        <v>319977.2</v>
      </c>
      <c r="AH29" s="55"/>
      <c r="AI29" s="55"/>
      <c r="AJ29" s="179">
        <v>320813.82131112</v>
      </c>
      <c r="AK29" s="179">
        <f>AG29-AJ29</f>
        <v>-836.62131111999042</v>
      </c>
    </row>
    <row r="30" spans="1:37" ht="63" x14ac:dyDescent="0.25">
      <c r="A30" s="154" t="s">
        <v>51</v>
      </c>
      <c r="B30" s="139" t="s">
        <v>50</v>
      </c>
      <c r="C30" s="139" t="s">
        <v>40</v>
      </c>
      <c r="D30" s="144" t="s">
        <v>45</v>
      </c>
      <c r="E30" s="122">
        <v>80</v>
      </c>
      <c r="F30" s="80">
        <f t="shared" si="1"/>
        <v>15457.78</v>
      </c>
      <c r="G30" s="80">
        <f t="shared" si="2"/>
        <v>10522.09</v>
      </c>
      <c r="H30" s="3">
        <v>8081.48</v>
      </c>
      <c r="I30" s="84">
        <v>0</v>
      </c>
      <c r="J30" s="3">
        <v>0</v>
      </c>
      <c r="K30" s="20">
        <f t="shared" si="3"/>
        <v>2440.61</v>
      </c>
      <c r="L30" s="3"/>
      <c r="M30" s="84">
        <v>887.33999999999992</v>
      </c>
      <c r="N30" s="84">
        <v>0</v>
      </c>
      <c r="O30" s="84">
        <v>514.5</v>
      </c>
      <c r="P30" s="84">
        <v>0</v>
      </c>
      <c r="Q30" s="84">
        <v>41.67</v>
      </c>
      <c r="R30" s="3">
        <v>506.39</v>
      </c>
      <c r="S30" s="84">
        <v>547.55999999999995</v>
      </c>
      <c r="T30" s="3">
        <v>764.2</v>
      </c>
      <c r="U30" s="3">
        <v>0</v>
      </c>
      <c r="V30" s="84">
        <v>743.78</v>
      </c>
      <c r="W30" s="3">
        <v>0</v>
      </c>
      <c r="X30" s="20">
        <f t="shared" si="4"/>
        <v>975.25</v>
      </c>
      <c r="Y30" s="85">
        <v>749.04</v>
      </c>
      <c r="Z30" s="84">
        <v>0</v>
      </c>
      <c r="AA30" s="3">
        <v>0</v>
      </c>
      <c r="AB30" s="20">
        <f t="shared" si="5"/>
        <v>226.21</v>
      </c>
      <c r="AC30" s="84">
        <v>0</v>
      </c>
      <c r="AD30" s="168">
        <f>475.05-5.55</f>
        <v>469.5</v>
      </c>
      <c r="AE30" s="20">
        <f t="shared" si="6"/>
        <v>1236.5999999999999</v>
      </c>
      <c r="AF30" s="84">
        <v>0</v>
      </c>
      <c r="AG30" s="237"/>
      <c r="AH30" s="55"/>
      <c r="AI30" s="55"/>
      <c r="AJ30" s="179"/>
      <c r="AK30" s="179"/>
    </row>
    <row r="31" spans="1:37" ht="45" x14ac:dyDescent="0.25">
      <c r="A31" s="154" t="s">
        <v>51</v>
      </c>
      <c r="B31" s="139" t="s">
        <v>41</v>
      </c>
      <c r="C31" s="140" t="s">
        <v>42</v>
      </c>
      <c r="D31" s="142" t="s">
        <v>38</v>
      </c>
      <c r="E31" s="122">
        <v>0</v>
      </c>
      <c r="F31" s="80">
        <f t="shared" si="1"/>
        <v>0</v>
      </c>
      <c r="G31" s="80">
        <f t="shared" si="2"/>
        <v>0</v>
      </c>
      <c r="H31" s="3">
        <v>0</v>
      </c>
      <c r="I31" s="84">
        <v>0</v>
      </c>
      <c r="J31" s="3">
        <v>0</v>
      </c>
      <c r="K31" s="20">
        <f t="shared" si="3"/>
        <v>0</v>
      </c>
      <c r="L31" s="3"/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3">
        <v>0</v>
      </c>
      <c r="S31" s="84">
        <v>0</v>
      </c>
      <c r="T31" s="3">
        <v>0</v>
      </c>
      <c r="U31" s="3">
        <v>0</v>
      </c>
      <c r="V31" s="84">
        <v>0</v>
      </c>
      <c r="W31" s="3">
        <v>0</v>
      </c>
      <c r="X31" s="20">
        <f t="shared" si="4"/>
        <v>0</v>
      </c>
      <c r="Y31" s="85">
        <v>0</v>
      </c>
      <c r="Z31" s="84">
        <v>0</v>
      </c>
      <c r="AA31" s="3">
        <v>0</v>
      </c>
      <c r="AB31" s="20">
        <f t="shared" si="5"/>
        <v>0</v>
      </c>
      <c r="AC31" s="84">
        <v>0</v>
      </c>
      <c r="AD31" s="84">
        <v>0</v>
      </c>
      <c r="AE31" s="20">
        <f t="shared" si="6"/>
        <v>0</v>
      </c>
      <c r="AF31" s="84">
        <v>0</v>
      </c>
      <c r="AG31" s="237"/>
      <c r="AH31" s="55"/>
      <c r="AI31" s="55"/>
      <c r="AJ31" s="179"/>
      <c r="AK31" s="179"/>
    </row>
    <row r="32" spans="1:37" ht="78.75" x14ac:dyDescent="0.25">
      <c r="A32" s="123" t="s">
        <v>52</v>
      </c>
      <c r="B32" s="139" t="s">
        <v>36</v>
      </c>
      <c r="C32" s="139" t="s">
        <v>37</v>
      </c>
      <c r="D32" s="139" t="s">
        <v>53</v>
      </c>
      <c r="E32" s="122">
        <v>1500</v>
      </c>
      <c r="F32" s="80">
        <f t="shared" si="1"/>
        <v>7034.7</v>
      </c>
      <c r="G32" s="80">
        <f t="shared" si="2"/>
        <v>2342.31</v>
      </c>
      <c r="H32" s="3">
        <v>1799.01</v>
      </c>
      <c r="I32" s="84">
        <v>0</v>
      </c>
      <c r="J32" s="3">
        <v>0</v>
      </c>
      <c r="K32" s="20">
        <f t="shared" si="3"/>
        <v>543.29999999999995</v>
      </c>
      <c r="L32" s="3"/>
      <c r="M32" s="84">
        <v>465.89</v>
      </c>
      <c r="N32" s="84">
        <v>0</v>
      </c>
      <c r="O32" s="84">
        <v>0</v>
      </c>
      <c r="P32" s="84">
        <v>0</v>
      </c>
      <c r="Q32" s="84">
        <v>883.73</v>
      </c>
      <c r="R32" s="3">
        <v>74.47</v>
      </c>
      <c r="S32" s="84">
        <v>1239.44</v>
      </c>
      <c r="T32" s="3">
        <v>0</v>
      </c>
      <c r="U32" s="3">
        <v>0</v>
      </c>
      <c r="V32" s="84">
        <v>11.25</v>
      </c>
      <c r="W32" s="3">
        <v>12.33</v>
      </c>
      <c r="X32" s="20">
        <f t="shared" si="4"/>
        <v>1892.3400000000001</v>
      </c>
      <c r="Y32" s="85">
        <v>1453.41</v>
      </c>
      <c r="Z32" s="84">
        <v>0</v>
      </c>
      <c r="AA32" s="3">
        <v>0</v>
      </c>
      <c r="AB32" s="20">
        <f t="shared" si="5"/>
        <v>438.93</v>
      </c>
      <c r="AC32" s="84">
        <v>0</v>
      </c>
      <c r="AD32" s="84">
        <v>112.94</v>
      </c>
      <c r="AE32" s="20">
        <f t="shared" si="6"/>
        <v>10552.1</v>
      </c>
      <c r="AF32" s="173">
        <v>456.3</v>
      </c>
      <c r="AG32" s="3">
        <f>SUM(AE32:AF33)</f>
        <v>19359.5</v>
      </c>
      <c r="AH32" s="55"/>
      <c r="AI32" s="55"/>
      <c r="AJ32" s="179">
        <v>19967.900000000001</v>
      </c>
      <c r="AK32" s="179">
        <f>AG32-AJ32</f>
        <v>-608.40000000000146</v>
      </c>
    </row>
    <row r="33" spans="1:37" ht="63" x14ac:dyDescent="0.25">
      <c r="A33" s="123" t="s">
        <v>52</v>
      </c>
      <c r="B33" s="139" t="s">
        <v>39</v>
      </c>
      <c r="C33" s="139" t="s">
        <v>40</v>
      </c>
      <c r="D33" s="139" t="s">
        <v>53</v>
      </c>
      <c r="E33" s="122">
        <v>63</v>
      </c>
      <c r="F33" s="80">
        <f t="shared" si="1"/>
        <v>132556.73000000001</v>
      </c>
      <c r="G33" s="80">
        <f t="shared" si="2"/>
        <v>53726.6</v>
      </c>
      <c r="H33" s="3">
        <v>41264.67</v>
      </c>
      <c r="I33" s="84">
        <v>0</v>
      </c>
      <c r="J33" s="3">
        <v>0</v>
      </c>
      <c r="K33" s="20">
        <f t="shared" si="3"/>
        <v>12461.93</v>
      </c>
      <c r="L33" s="3"/>
      <c r="M33" s="84">
        <v>95.97</v>
      </c>
      <c r="N33" s="84">
        <v>0</v>
      </c>
      <c r="O33" s="84">
        <v>0</v>
      </c>
      <c r="P33" s="84">
        <v>0</v>
      </c>
      <c r="Q33" s="84">
        <v>1201.3800000000001</v>
      </c>
      <c r="R33" s="3">
        <v>1099.82</v>
      </c>
      <c r="S33" s="84">
        <v>16863.12</v>
      </c>
      <c r="T33" s="181">
        <f>51059.4-16900</f>
        <v>34159.4</v>
      </c>
      <c r="U33" s="3">
        <v>0</v>
      </c>
      <c r="V33" s="84">
        <v>1672.44</v>
      </c>
      <c r="W33" s="3">
        <v>308.2</v>
      </c>
      <c r="X33" s="20">
        <f t="shared" si="4"/>
        <v>23429.800000000003</v>
      </c>
      <c r="Y33" s="85">
        <v>17995.240000000002</v>
      </c>
      <c r="Z33" s="84">
        <v>0</v>
      </c>
      <c r="AA33" s="3">
        <v>0</v>
      </c>
      <c r="AB33" s="20">
        <f t="shared" si="5"/>
        <v>5434.56</v>
      </c>
      <c r="AC33" s="84">
        <v>0</v>
      </c>
      <c r="AD33" s="84">
        <v>0</v>
      </c>
      <c r="AE33" s="20">
        <f t="shared" si="6"/>
        <v>8351.1</v>
      </c>
      <c r="AF33" s="84">
        <v>0</v>
      </c>
      <c r="AG33" s="3"/>
      <c r="AH33" s="55"/>
      <c r="AI33" s="55"/>
      <c r="AJ33" s="179"/>
      <c r="AK33" s="179"/>
    </row>
    <row r="34" spans="1:37" ht="78.75" x14ac:dyDescent="0.25">
      <c r="A34" s="123" t="s">
        <v>54</v>
      </c>
      <c r="B34" s="139" t="s">
        <v>49</v>
      </c>
      <c r="C34" s="139" t="s">
        <v>37</v>
      </c>
      <c r="D34" s="139" t="s">
        <v>45</v>
      </c>
      <c r="E34" s="122">
        <v>5286</v>
      </c>
      <c r="F34" s="80">
        <f t="shared" si="1"/>
        <v>1971.87</v>
      </c>
      <c r="G34" s="80">
        <f t="shared" si="2"/>
        <v>864.2</v>
      </c>
      <c r="H34" s="3">
        <v>663.75</v>
      </c>
      <c r="I34" s="84">
        <v>0</v>
      </c>
      <c r="J34" s="3">
        <v>0</v>
      </c>
      <c r="K34" s="20">
        <f t="shared" si="3"/>
        <v>200.45</v>
      </c>
      <c r="L34" s="3"/>
      <c r="M34" s="84">
        <v>88.35</v>
      </c>
      <c r="N34" s="84">
        <v>0</v>
      </c>
      <c r="O34" s="84">
        <v>89.35</v>
      </c>
      <c r="P34" s="84">
        <v>0</v>
      </c>
      <c r="Q34" s="84">
        <v>81.81</v>
      </c>
      <c r="R34" s="3">
        <v>34.53</v>
      </c>
      <c r="S34" s="84">
        <v>86.22</v>
      </c>
      <c r="T34" s="3">
        <v>95</v>
      </c>
      <c r="U34" s="3">
        <v>0</v>
      </c>
      <c r="V34" s="84">
        <v>13.5</v>
      </c>
      <c r="W34" s="3">
        <v>3.53</v>
      </c>
      <c r="X34" s="20">
        <f t="shared" si="4"/>
        <v>560.13</v>
      </c>
      <c r="Y34" s="85">
        <v>430.21</v>
      </c>
      <c r="Z34" s="84">
        <v>0</v>
      </c>
      <c r="AA34" s="3">
        <v>0</v>
      </c>
      <c r="AB34" s="20">
        <f t="shared" si="5"/>
        <v>129.91999999999999</v>
      </c>
      <c r="AC34" s="84">
        <v>0</v>
      </c>
      <c r="AD34" s="168">
        <f>347.74-203.14</f>
        <v>144.60000000000002</v>
      </c>
      <c r="AE34" s="20">
        <f t="shared" si="6"/>
        <v>10423.299999999999</v>
      </c>
      <c r="AF34" s="173">
        <v>435</v>
      </c>
      <c r="AG34" s="3">
        <f>SUM(AE34:AF35)</f>
        <v>11472</v>
      </c>
      <c r="AH34" s="55"/>
      <c r="AI34" s="55"/>
      <c r="AJ34" s="179">
        <v>12210.763432000002</v>
      </c>
      <c r="AK34" s="179">
        <f>AG34-AJ34</f>
        <v>-738.76343200000156</v>
      </c>
    </row>
    <row r="35" spans="1:37" ht="63" x14ac:dyDescent="0.25">
      <c r="A35" s="123" t="s">
        <v>54</v>
      </c>
      <c r="B35" s="139" t="s">
        <v>50</v>
      </c>
      <c r="C35" s="139" t="s">
        <v>40</v>
      </c>
      <c r="D35" s="139" t="s">
        <v>45</v>
      </c>
      <c r="E35" s="122">
        <v>10</v>
      </c>
      <c r="F35" s="80">
        <f t="shared" si="1"/>
        <v>61370.610000000008</v>
      </c>
      <c r="G35" s="80">
        <f t="shared" si="2"/>
        <v>30901.210000000003</v>
      </c>
      <c r="H35" s="3">
        <v>23733.65</v>
      </c>
      <c r="I35" s="84">
        <v>0</v>
      </c>
      <c r="J35" s="3">
        <v>0</v>
      </c>
      <c r="K35" s="20">
        <f t="shared" si="3"/>
        <v>7167.56</v>
      </c>
      <c r="L35" s="3"/>
      <c r="M35" s="84">
        <v>730.23</v>
      </c>
      <c r="N35" s="84">
        <v>0</v>
      </c>
      <c r="O35" s="84">
        <v>730.23</v>
      </c>
      <c r="P35" s="84">
        <v>0</v>
      </c>
      <c r="Q35" s="84">
        <v>1483.8</v>
      </c>
      <c r="R35" s="3">
        <v>1765.7</v>
      </c>
      <c r="S35" s="84">
        <v>2723.86</v>
      </c>
      <c r="T35" s="3">
        <v>8000</v>
      </c>
      <c r="U35" s="3">
        <v>0</v>
      </c>
      <c r="V35" s="84">
        <v>1619.01</v>
      </c>
      <c r="W35" s="3">
        <v>1033.3499999999999</v>
      </c>
      <c r="X35" s="20">
        <f t="shared" si="4"/>
        <v>10676.4</v>
      </c>
      <c r="Y35" s="85">
        <v>8200</v>
      </c>
      <c r="Z35" s="84">
        <v>0</v>
      </c>
      <c r="AA35" s="3">
        <v>0</v>
      </c>
      <c r="AB35" s="20">
        <f t="shared" si="5"/>
        <v>2476.4</v>
      </c>
      <c r="AC35" s="84">
        <v>0</v>
      </c>
      <c r="AD35" s="84">
        <v>2437.0500000000002</v>
      </c>
      <c r="AE35" s="20">
        <f t="shared" si="6"/>
        <v>613.70000000000005</v>
      </c>
      <c r="AF35" s="84">
        <v>0</v>
      </c>
      <c r="AG35" s="3"/>
      <c r="AH35" s="55"/>
      <c r="AI35" s="55"/>
      <c r="AJ35" s="179"/>
      <c r="AK35" s="179"/>
    </row>
    <row r="36" spans="1:37" ht="78.75" x14ac:dyDescent="0.25">
      <c r="A36" s="123" t="s">
        <v>55</v>
      </c>
      <c r="B36" s="139" t="s">
        <v>56</v>
      </c>
      <c r="C36" s="139" t="s">
        <v>37</v>
      </c>
      <c r="D36" s="58" t="s">
        <v>53</v>
      </c>
      <c r="E36" s="122">
        <v>7974</v>
      </c>
      <c r="F36" s="80">
        <f t="shared" si="1"/>
        <v>2531.4499999999998</v>
      </c>
      <c r="G36" s="80">
        <f t="shared" si="2"/>
        <v>1230.3600000000001</v>
      </c>
      <c r="H36" s="3">
        <v>944.98</v>
      </c>
      <c r="I36" s="84">
        <v>0</v>
      </c>
      <c r="J36" s="3">
        <v>0</v>
      </c>
      <c r="K36" s="20">
        <f t="shared" si="3"/>
        <v>285.38</v>
      </c>
      <c r="L36" s="3"/>
      <c r="M36" s="84">
        <v>160.78</v>
      </c>
      <c r="N36" s="84">
        <v>0</v>
      </c>
      <c r="O36" s="84">
        <v>45.22</v>
      </c>
      <c r="P36" s="84">
        <v>0</v>
      </c>
      <c r="Q36" s="84">
        <v>69.98</v>
      </c>
      <c r="R36" s="3">
        <v>16.579999999999998</v>
      </c>
      <c r="S36" s="84">
        <v>83.6</v>
      </c>
      <c r="T36" s="3">
        <v>16.809999999999999</v>
      </c>
      <c r="U36" s="3">
        <v>0</v>
      </c>
      <c r="V36" s="84">
        <v>17.8</v>
      </c>
      <c r="W36" s="3">
        <v>0</v>
      </c>
      <c r="X36" s="20">
        <f t="shared" si="4"/>
        <v>893.24</v>
      </c>
      <c r="Y36" s="85">
        <v>686.05</v>
      </c>
      <c r="Z36" s="84">
        <v>0</v>
      </c>
      <c r="AA36" s="3">
        <v>0</v>
      </c>
      <c r="AB36" s="20">
        <f t="shared" si="5"/>
        <v>207.19</v>
      </c>
      <c r="AC36" s="84">
        <v>0</v>
      </c>
      <c r="AD36" s="168">
        <f>71.41-29.11</f>
        <v>42.3</v>
      </c>
      <c r="AE36" s="20">
        <f t="shared" si="6"/>
        <v>20185.8</v>
      </c>
      <c r="AF36" s="173">
        <v>264.39999999999998</v>
      </c>
      <c r="AG36" s="3">
        <f>AF36+AE36+AE37</f>
        <v>21006.5</v>
      </c>
      <c r="AH36" s="55"/>
      <c r="AI36" s="55"/>
      <c r="AJ36" s="179">
        <v>21290.5</v>
      </c>
      <c r="AK36" s="179">
        <f>AG36-AJ36</f>
        <v>-284</v>
      </c>
    </row>
    <row r="37" spans="1:37" ht="63" x14ac:dyDescent="0.25">
      <c r="A37" s="123" t="s">
        <v>55</v>
      </c>
      <c r="B37" s="145" t="s">
        <v>57</v>
      </c>
      <c r="C37" s="139" t="s">
        <v>40</v>
      </c>
      <c r="D37" s="58" t="s">
        <v>45</v>
      </c>
      <c r="E37" s="122">
        <v>30</v>
      </c>
      <c r="F37" s="80">
        <f t="shared" si="1"/>
        <v>18544.669999999998</v>
      </c>
      <c r="G37" s="80">
        <f t="shared" si="2"/>
        <v>11718</v>
      </c>
      <c r="H37" s="3">
        <v>9000</v>
      </c>
      <c r="I37" s="84">
        <v>0</v>
      </c>
      <c r="J37" s="3">
        <v>0</v>
      </c>
      <c r="K37" s="20">
        <f t="shared" si="3"/>
        <v>2718</v>
      </c>
      <c r="L37" s="3"/>
      <c r="M37" s="84">
        <v>345.61</v>
      </c>
      <c r="N37" s="84">
        <v>0</v>
      </c>
      <c r="O37" s="84">
        <v>126.44</v>
      </c>
      <c r="P37" s="84">
        <v>0</v>
      </c>
      <c r="Q37" s="84">
        <v>116.67</v>
      </c>
      <c r="R37" s="3">
        <v>78.14</v>
      </c>
      <c r="S37" s="84">
        <v>45.08</v>
      </c>
      <c r="T37" s="3">
        <v>0</v>
      </c>
      <c r="U37" s="3">
        <v>0</v>
      </c>
      <c r="V37" s="84">
        <v>60</v>
      </c>
      <c r="W37" s="3">
        <v>0</v>
      </c>
      <c r="X37" s="20">
        <f t="shared" si="4"/>
        <v>5839.5</v>
      </c>
      <c r="Y37" s="85">
        <v>4485.0200000000004</v>
      </c>
      <c r="Z37" s="84">
        <v>0</v>
      </c>
      <c r="AA37" s="3">
        <v>0</v>
      </c>
      <c r="AB37" s="20">
        <f t="shared" si="5"/>
        <v>1354.48</v>
      </c>
      <c r="AC37" s="84">
        <v>0</v>
      </c>
      <c r="AD37" s="84">
        <v>341.67</v>
      </c>
      <c r="AE37" s="20">
        <f t="shared" si="6"/>
        <v>556.29999999999995</v>
      </c>
      <c r="AF37" s="84">
        <v>0</v>
      </c>
      <c r="AG37" s="3"/>
      <c r="AH37" s="55"/>
      <c r="AI37" s="55"/>
      <c r="AJ37" s="179"/>
      <c r="AK37" s="179"/>
    </row>
    <row r="38" spans="1:37" ht="63" x14ac:dyDescent="0.25">
      <c r="A38" s="152" t="s">
        <v>58</v>
      </c>
      <c r="B38" s="146" t="s">
        <v>39</v>
      </c>
      <c r="C38" s="146" t="s">
        <v>40</v>
      </c>
      <c r="D38" s="59" t="s">
        <v>45</v>
      </c>
      <c r="E38" s="122">
        <v>60</v>
      </c>
      <c r="F38" s="80">
        <f t="shared" si="1"/>
        <v>97457.72</v>
      </c>
      <c r="G38" s="80">
        <f t="shared" si="2"/>
        <v>48851.040000000001</v>
      </c>
      <c r="H38" s="3">
        <v>37520</v>
      </c>
      <c r="I38" s="84">
        <v>0</v>
      </c>
      <c r="J38" s="3">
        <v>0</v>
      </c>
      <c r="K38" s="20">
        <f t="shared" si="3"/>
        <v>11331.04</v>
      </c>
      <c r="L38" s="3"/>
      <c r="M38" s="84">
        <v>4566.67</v>
      </c>
      <c r="N38" s="84">
        <v>2666.67</v>
      </c>
      <c r="O38" s="84">
        <v>1083.33</v>
      </c>
      <c r="P38" s="84">
        <v>0</v>
      </c>
      <c r="Q38" s="84">
        <v>1066.67</v>
      </c>
      <c r="R38" s="3">
        <v>9902.85</v>
      </c>
      <c r="S38" s="84">
        <v>2458.33</v>
      </c>
      <c r="T38" s="3">
        <v>1533.33</v>
      </c>
      <c r="U38" s="3">
        <v>0</v>
      </c>
      <c r="V38" s="84">
        <v>3620</v>
      </c>
      <c r="W38" s="3">
        <v>0</v>
      </c>
      <c r="X38" s="20">
        <f t="shared" si="4"/>
        <v>22915.200000000001</v>
      </c>
      <c r="Y38" s="85">
        <v>17600</v>
      </c>
      <c r="Z38" s="84">
        <v>0</v>
      </c>
      <c r="AA38" s="3">
        <v>0</v>
      </c>
      <c r="AB38" s="20">
        <f t="shared" si="5"/>
        <v>5315.2</v>
      </c>
      <c r="AC38" s="84">
        <v>0</v>
      </c>
      <c r="AD38" s="168">
        <f>2626.96-83.33</f>
        <v>2543.63</v>
      </c>
      <c r="AE38" s="20">
        <f t="shared" si="6"/>
        <v>5847.5</v>
      </c>
      <c r="AF38" s="173">
        <v>166.9</v>
      </c>
      <c r="AG38" s="3">
        <f>AE38+AF38</f>
        <v>6014.4</v>
      </c>
      <c r="AH38" s="55"/>
      <c r="AI38" s="55"/>
      <c r="AJ38" s="179">
        <v>6016.9</v>
      </c>
      <c r="AK38" s="179">
        <f>AG38-AJ38</f>
        <v>-2.5</v>
      </c>
    </row>
    <row r="39" spans="1:37" ht="63" x14ac:dyDescent="0.25">
      <c r="A39" s="169" t="s">
        <v>59</v>
      </c>
      <c r="B39" s="139" t="s">
        <v>39</v>
      </c>
      <c r="C39" s="139" t="s">
        <v>40</v>
      </c>
      <c r="D39" s="139" t="s">
        <v>45</v>
      </c>
      <c r="E39" s="122">
        <v>52</v>
      </c>
      <c r="F39" s="80">
        <f t="shared" si="1"/>
        <v>104728.45999999999</v>
      </c>
      <c r="G39" s="80">
        <f t="shared" si="2"/>
        <v>27642.46</v>
      </c>
      <c r="H39" s="3">
        <v>21230.77</v>
      </c>
      <c r="I39" s="84">
        <v>0</v>
      </c>
      <c r="J39" s="3">
        <v>0</v>
      </c>
      <c r="K39" s="20">
        <f t="shared" si="3"/>
        <v>6411.69</v>
      </c>
      <c r="L39" s="3"/>
      <c r="M39" s="84">
        <v>512.52</v>
      </c>
      <c r="N39" s="84">
        <v>0</v>
      </c>
      <c r="O39" s="84">
        <v>407.69</v>
      </c>
      <c r="P39" s="84">
        <v>0</v>
      </c>
      <c r="Q39" s="84">
        <v>0</v>
      </c>
      <c r="R39" s="3">
        <v>11019.39</v>
      </c>
      <c r="S39" s="168">
        <f>64623.9-6953.85</f>
        <v>57670.05</v>
      </c>
      <c r="T39" s="3">
        <v>0</v>
      </c>
      <c r="U39" s="3">
        <v>0</v>
      </c>
      <c r="V39" s="84">
        <v>1153.7</v>
      </c>
      <c r="W39" s="3">
        <v>0</v>
      </c>
      <c r="X39" s="20">
        <f t="shared" si="4"/>
        <v>6730.3399999999992</v>
      </c>
      <c r="Y39" s="85">
        <v>5169.2299999999996</v>
      </c>
      <c r="Z39" s="84">
        <v>0</v>
      </c>
      <c r="AA39" s="3">
        <v>0</v>
      </c>
      <c r="AB39" s="20">
        <f t="shared" si="5"/>
        <v>1561.11</v>
      </c>
      <c r="AC39" s="84">
        <v>0</v>
      </c>
      <c r="AD39" s="84">
        <v>0</v>
      </c>
      <c r="AE39" s="20">
        <f>ROUND(E39*F39/1000,1)</f>
        <v>5445.9</v>
      </c>
      <c r="AF39" s="173">
        <v>167.1</v>
      </c>
      <c r="AG39" s="155">
        <f>AE39+AF39</f>
        <v>5613</v>
      </c>
      <c r="AH39" s="55">
        <v>6044.2897022157067</v>
      </c>
      <c r="AI39" s="55"/>
      <c r="AJ39" s="179">
        <v>5807.47</v>
      </c>
      <c r="AK39" s="179">
        <f>AG39-AJ39</f>
        <v>-194.47000000000025</v>
      </c>
    </row>
    <row r="40" spans="1:37" ht="63" x14ac:dyDescent="0.25">
      <c r="A40" s="261" t="s">
        <v>60</v>
      </c>
      <c r="B40" s="141" t="s">
        <v>61</v>
      </c>
      <c r="C40" s="141" t="s">
        <v>62</v>
      </c>
      <c r="D40" s="141" t="s">
        <v>45</v>
      </c>
      <c r="E40" s="157">
        <v>496</v>
      </c>
      <c r="F40" s="80">
        <f t="shared" si="1"/>
        <v>17070.98</v>
      </c>
      <c r="G40" s="80">
        <f t="shared" si="2"/>
        <v>7326.24</v>
      </c>
      <c r="H40" s="3">
        <v>5626.91</v>
      </c>
      <c r="I40" s="84">
        <v>0</v>
      </c>
      <c r="J40" s="3">
        <v>0</v>
      </c>
      <c r="K40" s="20">
        <f t="shared" si="3"/>
        <v>1699.33</v>
      </c>
      <c r="L40" s="3"/>
      <c r="M40" s="84">
        <v>868.95</v>
      </c>
      <c r="N40" s="84">
        <v>0</v>
      </c>
      <c r="O40" s="84">
        <v>0</v>
      </c>
      <c r="P40" s="84">
        <v>0</v>
      </c>
      <c r="Q40" s="84">
        <v>276.68</v>
      </c>
      <c r="R40" s="3">
        <v>1044.21</v>
      </c>
      <c r="S40" s="84">
        <v>1127.02</v>
      </c>
      <c r="T40" s="3">
        <v>113.91</v>
      </c>
      <c r="U40" s="3">
        <v>0</v>
      </c>
      <c r="V40" s="84">
        <v>26.24</v>
      </c>
      <c r="W40" s="3">
        <v>1.21</v>
      </c>
      <c r="X40" s="20">
        <f t="shared" si="4"/>
        <v>5512.5</v>
      </c>
      <c r="Y40" s="85">
        <v>4233.87</v>
      </c>
      <c r="Z40" s="84">
        <v>0</v>
      </c>
      <c r="AA40" s="3">
        <v>0</v>
      </c>
      <c r="AB40" s="20">
        <f t="shared" si="5"/>
        <v>1278.6300000000001</v>
      </c>
      <c r="AC40" s="84">
        <v>0</v>
      </c>
      <c r="AD40" s="168">
        <f>813.54-39.52</f>
        <v>774.02</v>
      </c>
      <c r="AE40" s="20">
        <f t="shared" si="6"/>
        <v>8467.2000000000007</v>
      </c>
      <c r="AF40" s="173">
        <v>19.600000000000001</v>
      </c>
      <c r="AG40" s="3">
        <f>AE40+AE41+AE42+AE43+AF40</f>
        <v>31094.799999999999</v>
      </c>
      <c r="AH40" s="55"/>
      <c r="AI40" s="55"/>
      <c r="AJ40" s="179">
        <v>31094.71</v>
      </c>
      <c r="AK40" s="179">
        <f>AG40-AJ40</f>
        <v>9.0000000000145519E-2</v>
      </c>
    </row>
    <row r="41" spans="1:37" ht="120" x14ac:dyDescent="0.25">
      <c r="A41" s="262"/>
      <c r="B41" s="147" t="s">
        <v>82</v>
      </c>
      <c r="C41" s="148" t="s">
        <v>64</v>
      </c>
      <c r="D41" s="149" t="s">
        <v>65</v>
      </c>
      <c r="E41" s="157">
        <v>6880</v>
      </c>
      <c r="F41" s="80">
        <f t="shared" si="1"/>
        <v>2288.25</v>
      </c>
      <c r="G41" s="80">
        <f t="shared" si="2"/>
        <v>1173.3800000000001</v>
      </c>
      <c r="H41" s="3">
        <v>901.21</v>
      </c>
      <c r="I41" s="84">
        <v>0</v>
      </c>
      <c r="J41" s="3">
        <v>0</v>
      </c>
      <c r="K41" s="20">
        <f t="shared" si="3"/>
        <v>272.17</v>
      </c>
      <c r="L41" s="3"/>
      <c r="M41" s="84">
        <v>48.85</v>
      </c>
      <c r="N41" s="84">
        <v>0</v>
      </c>
      <c r="O41" s="84">
        <v>14.63</v>
      </c>
      <c r="P41" s="84">
        <v>0</v>
      </c>
      <c r="Q41" s="84">
        <v>0</v>
      </c>
      <c r="R41" s="3">
        <v>11.54</v>
      </c>
      <c r="S41" s="84">
        <v>27.22</v>
      </c>
      <c r="T41" s="3">
        <v>56.72</v>
      </c>
      <c r="U41" s="3">
        <v>0</v>
      </c>
      <c r="V41" s="84">
        <v>40.5</v>
      </c>
      <c r="W41" s="3">
        <v>27.56</v>
      </c>
      <c r="X41" s="20">
        <f t="shared" si="4"/>
        <v>535.55999999999995</v>
      </c>
      <c r="Y41" s="85">
        <v>411.34</v>
      </c>
      <c r="Z41" s="84">
        <v>0</v>
      </c>
      <c r="AA41" s="3">
        <v>0</v>
      </c>
      <c r="AB41" s="20">
        <f t="shared" si="5"/>
        <v>124.22</v>
      </c>
      <c r="AC41" s="84">
        <v>0</v>
      </c>
      <c r="AD41" s="84">
        <v>366.92</v>
      </c>
      <c r="AE41" s="20">
        <f t="shared" si="6"/>
        <v>15743.2</v>
      </c>
      <c r="AF41" s="84">
        <v>0</v>
      </c>
      <c r="AG41" s="3"/>
      <c r="AH41" s="55"/>
      <c r="AI41" s="55"/>
      <c r="AJ41" s="179"/>
      <c r="AK41" s="179"/>
    </row>
    <row r="42" spans="1:37" ht="180" x14ac:dyDescent="0.25">
      <c r="A42" s="262"/>
      <c r="B42" s="150" t="s">
        <v>83</v>
      </c>
      <c r="C42" s="148" t="s">
        <v>64</v>
      </c>
      <c r="D42" s="149" t="s">
        <v>65</v>
      </c>
      <c r="E42" s="157">
        <v>1000</v>
      </c>
      <c r="F42" s="80">
        <f t="shared" si="1"/>
        <v>2288.25</v>
      </c>
      <c r="G42" s="80">
        <f t="shared" si="2"/>
        <v>1173.3800000000001</v>
      </c>
      <c r="H42" s="3">
        <v>901.21</v>
      </c>
      <c r="I42" s="84">
        <v>0</v>
      </c>
      <c r="J42" s="3">
        <v>0</v>
      </c>
      <c r="K42" s="20">
        <f t="shared" si="3"/>
        <v>272.17</v>
      </c>
      <c r="L42" s="3"/>
      <c r="M42" s="84">
        <v>48.85</v>
      </c>
      <c r="N42" s="84">
        <v>0</v>
      </c>
      <c r="O42" s="84">
        <v>14.63</v>
      </c>
      <c r="P42" s="84">
        <v>0</v>
      </c>
      <c r="Q42" s="84">
        <v>0</v>
      </c>
      <c r="R42" s="3">
        <v>11.54</v>
      </c>
      <c r="S42" s="84">
        <v>27.22</v>
      </c>
      <c r="T42" s="3">
        <v>56.72</v>
      </c>
      <c r="U42" s="3">
        <v>0</v>
      </c>
      <c r="V42" s="84">
        <v>40.5</v>
      </c>
      <c r="W42" s="3">
        <v>27.56</v>
      </c>
      <c r="X42" s="20">
        <f t="shared" si="4"/>
        <v>535.55999999999995</v>
      </c>
      <c r="Y42" s="85">
        <v>411.34</v>
      </c>
      <c r="Z42" s="84">
        <v>0</v>
      </c>
      <c r="AA42" s="3">
        <v>0</v>
      </c>
      <c r="AB42" s="20">
        <f t="shared" si="5"/>
        <v>124.22</v>
      </c>
      <c r="AC42" s="84">
        <v>0</v>
      </c>
      <c r="AD42" s="84">
        <v>366.92</v>
      </c>
      <c r="AE42" s="20">
        <f t="shared" si="6"/>
        <v>2288.3000000000002</v>
      </c>
      <c r="AF42" s="84">
        <v>0</v>
      </c>
      <c r="AG42" s="3"/>
      <c r="AH42" s="55"/>
      <c r="AI42" s="55"/>
      <c r="AJ42" s="179"/>
      <c r="AK42" s="179"/>
    </row>
    <row r="43" spans="1:37" ht="90" x14ac:dyDescent="0.25">
      <c r="A43" s="262"/>
      <c r="B43" s="150" t="s">
        <v>84</v>
      </c>
      <c r="C43" s="148" t="s">
        <v>64</v>
      </c>
      <c r="D43" s="149" t="s">
        <v>65</v>
      </c>
      <c r="E43" s="157">
        <v>2000</v>
      </c>
      <c r="F43" s="80">
        <f t="shared" si="1"/>
        <v>2288.25</v>
      </c>
      <c r="G43" s="80">
        <f t="shared" si="2"/>
        <v>1173.3800000000001</v>
      </c>
      <c r="H43" s="3">
        <v>901.21</v>
      </c>
      <c r="I43" s="84">
        <v>0</v>
      </c>
      <c r="J43" s="3">
        <v>0</v>
      </c>
      <c r="K43" s="20">
        <f t="shared" si="3"/>
        <v>272.17</v>
      </c>
      <c r="L43" s="3"/>
      <c r="M43" s="84">
        <v>48.85</v>
      </c>
      <c r="N43" s="84">
        <v>0</v>
      </c>
      <c r="O43" s="84">
        <v>14.63</v>
      </c>
      <c r="P43" s="84">
        <v>0</v>
      </c>
      <c r="Q43" s="84">
        <v>0</v>
      </c>
      <c r="R43" s="3">
        <v>11.54</v>
      </c>
      <c r="S43" s="84">
        <v>27.22</v>
      </c>
      <c r="T43" s="3">
        <v>56.72</v>
      </c>
      <c r="U43" s="3">
        <v>0</v>
      </c>
      <c r="V43" s="84">
        <v>40.5</v>
      </c>
      <c r="W43" s="3">
        <v>27.56</v>
      </c>
      <c r="X43" s="20">
        <f t="shared" si="4"/>
        <v>535.55999999999995</v>
      </c>
      <c r="Y43" s="85">
        <v>411.34</v>
      </c>
      <c r="Z43" s="84">
        <v>0</v>
      </c>
      <c r="AA43" s="3">
        <v>0</v>
      </c>
      <c r="AB43" s="20">
        <f t="shared" si="5"/>
        <v>124.22</v>
      </c>
      <c r="AC43" s="84">
        <v>0</v>
      </c>
      <c r="AD43" s="84">
        <v>366.92</v>
      </c>
      <c r="AE43" s="20">
        <f t="shared" si="6"/>
        <v>4576.5</v>
      </c>
      <c r="AF43" s="84">
        <v>0</v>
      </c>
      <c r="AG43" s="3"/>
      <c r="AH43" s="55"/>
      <c r="AI43" s="55"/>
      <c r="AJ43" s="179"/>
      <c r="AK43" s="179"/>
    </row>
    <row r="44" spans="1:37" ht="18.75" x14ac:dyDescent="0.25">
      <c r="AE44" s="185">
        <f t="shared" ref="AE44:AF44" si="8">SUM(AE11:AE43)</f>
        <v>2226499.7999999998</v>
      </c>
      <c r="AF44" s="185">
        <f t="shared" si="8"/>
        <v>4525.3</v>
      </c>
      <c r="AG44" s="185">
        <f>SUM(AG11:AG43)</f>
        <v>2231025.1</v>
      </c>
      <c r="AH44" s="2">
        <f>SUM(AH11:AH43)</f>
        <v>197924.21910221566</v>
      </c>
      <c r="AI44" s="2">
        <f>AH44-AG44</f>
        <v>-2033100.8808977844</v>
      </c>
      <c r="AJ44" s="185">
        <f t="shared" ref="AJ44:AK44" si="9">SUM(AJ11:AJ43)</f>
        <v>2231966.08048592</v>
      </c>
      <c r="AK44" s="185">
        <f t="shared" si="9"/>
        <v>-940.98048592000578</v>
      </c>
    </row>
    <row r="46" spans="1:37" ht="15.75" x14ac:dyDescent="0.25">
      <c r="AG46" s="20">
        <v>2231966.08048592</v>
      </c>
    </row>
    <row r="47" spans="1:37" x14ac:dyDescent="0.25">
      <c r="AG47" s="108">
        <f>AG46-AG44</f>
        <v>940.98048591986299</v>
      </c>
    </row>
    <row r="48" spans="1:37" x14ac:dyDescent="0.25">
      <c r="AG48" s="108">
        <f>AG44-AG40</f>
        <v>2199930.3000000003</v>
      </c>
    </row>
  </sheetData>
  <mergeCells count="44">
    <mergeCell ref="A40:A43"/>
    <mergeCell ref="AB7:AB9"/>
    <mergeCell ref="AC7:AC9"/>
    <mergeCell ref="M8:M9"/>
    <mergeCell ref="N8:O8"/>
    <mergeCell ref="G6:G9"/>
    <mergeCell ref="I7:I9"/>
    <mergeCell ref="A3:A9"/>
    <mergeCell ref="B3:B9"/>
    <mergeCell ref="T5:T9"/>
    <mergeCell ref="U5:U9"/>
    <mergeCell ref="S5:S9"/>
    <mergeCell ref="AG23:AG25"/>
    <mergeCell ref="AG26:AG2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H6:L6"/>
    <mergeCell ref="X6:X9"/>
    <mergeCell ref="Y6:AC6"/>
    <mergeCell ref="H7:H9"/>
    <mergeCell ref="AG29:AG31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C3:D3"/>
    <mergeCell ref="F3:AD3"/>
    <mergeCell ref="AE3:AE9"/>
    <mergeCell ref="AF3:AF9"/>
    <mergeCell ref="R5:R9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L44"/>
  <sheetViews>
    <sheetView zoomScale="70" zoomScaleNormal="70" workbookViewId="0">
      <pane xSplit="6" ySplit="10" topLeftCell="AD41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23.425781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5" width="22" customWidth="1"/>
    <col min="36" max="37" width="17" customWidth="1"/>
    <col min="38" max="38" width="12.140625" customWidth="1"/>
  </cols>
  <sheetData>
    <row r="1" spans="1:38" ht="45" x14ac:dyDescent="0.25">
      <c r="E1" s="187" t="s">
        <v>103</v>
      </c>
      <c r="Z1" s="193" t="s">
        <v>105</v>
      </c>
      <c r="AA1" s="193" t="s">
        <v>106</v>
      </c>
      <c r="AB1" s="193" t="s">
        <v>107</v>
      </c>
    </row>
    <row r="2" spans="1:38" ht="18.75" x14ac:dyDescent="0.3">
      <c r="A2" s="118" t="s">
        <v>86</v>
      </c>
      <c r="B2" s="151" t="s">
        <v>95</v>
      </c>
      <c r="C2" s="151"/>
      <c r="E2" s="189" t="s">
        <v>104</v>
      </c>
      <c r="Z2" s="192">
        <f>E11+E14+E17+E20+E23+E26+E29+E32+E34+E36</f>
        <v>524511</v>
      </c>
      <c r="AA2" s="192">
        <f>E12+E15+E18+E21+E24+E27+E30+E33+E35+E37+E38+E39</f>
        <v>1389</v>
      </c>
      <c r="AB2" s="192">
        <f>E13+E16+E19+E22+E25+E28+E31</f>
        <v>47</v>
      </c>
    </row>
    <row r="3" spans="1:38" ht="15.75" x14ac:dyDescent="0.25">
      <c r="A3" s="247" t="s">
        <v>0</v>
      </c>
      <c r="B3" s="243" t="s">
        <v>1</v>
      </c>
      <c r="C3" s="248" t="s">
        <v>2</v>
      </c>
      <c r="D3" s="248"/>
      <c r="E3" s="135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4</v>
      </c>
      <c r="AF3" s="243" t="s">
        <v>5</v>
      </c>
      <c r="AG3" s="244" t="s">
        <v>6</v>
      </c>
      <c r="AH3" s="158"/>
      <c r="AI3" s="158"/>
      <c r="AJ3" s="4"/>
      <c r="AK3" s="4"/>
    </row>
    <row r="4" spans="1:38" ht="15.75" x14ac:dyDescent="0.25">
      <c r="A4" s="238"/>
      <c r="B4" s="242"/>
      <c r="C4" s="249" t="s">
        <v>7</v>
      </c>
      <c r="D4" s="249" t="s">
        <v>8</v>
      </c>
      <c r="E4" s="249" t="s">
        <v>9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  <c r="AF4" s="242"/>
      <c r="AG4" s="245"/>
      <c r="AH4" s="158"/>
      <c r="AI4" s="158"/>
      <c r="AJ4" s="4"/>
      <c r="AK4" s="4"/>
    </row>
    <row r="5" spans="1:38" ht="15.75" x14ac:dyDescent="0.25">
      <c r="A5" s="238"/>
      <c r="B5" s="242"/>
      <c r="C5" s="249"/>
      <c r="D5" s="249"/>
      <c r="E5" s="249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  <c r="AF5" s="242"/>
      <c r="AG5" s="245"/>
      <c r="AH5" s="158"/>
      <c r="AI5" s="158"/>
      <c r="AJ5" s="4"/>
      <c r="AK5" s="4"/>
    </row>
    <row r="6" spans="1:38" ht="15.75" x14ac:dyDescent="0.25">
      <c r="A6" s="238"/>
      <c r="B6" s="242"/>
      <c r="C6" s="249"/>
      <c r="D6" s="249"/>
      <c r="E6" s="249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  <c r="AF6" s="242"/>
      <c r="AG6" s="245"/>
      <c r="AH6" s="158"/>
      <c r="AI6" s="158"/>
      <c r="AJ6" s="4"/>
      <c r="AK6" s="4"/>
    </row>
    <row r="7" spans="1:38" ht="15.75" x14ac:dyDescent="0.25">
      <c r="A7" s="238"/>
      <c r="B7" s="242"/>
      <c r="C7" s="249"/>
      <c r="D7" s="249"/>
      <c r="E7" s="249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  <c r="AF7" s="242"/>
      <c r="AG7" s="245"/>
      <c r="AH7" s="158"/>
      <c r="AI7" s="158"/>
      <c r="AJ7" s="4"/>
      <c r="AK7" s="4"/>
    </row>
    <row r="8" spans="1:38" ht="15.75" x14ac:dyDescent="0.25">
      <c r="A8" s="238"/>
      <c r="B8" s="242"/>
      <c r="C8" s="249"/>
      <c r="D8" s="249"/>
      <c r="E8" s="249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  <c r="AF8" s="242"/>
      <c r="AG8" s="245"/>
      <c r="AH8" s="158"/>
      <c r="AI8" s="158"/>
      <c r="AJ8" s="4"/>
      <c r="AK8" s="4"/>
    </row>
    <row r="9" spans="1:38" ht="94.5" x14ac:dyDescent="0.25">
      <c r="A9" s="238"/>
      <c r="B9" s="242"/>
      <c r="C9" s="249"/>
      <c r="D9" s="249"/>
      <c r="E9" s="249"/>
      <c r="F9" s="246"/>
      <c r="G9" s="246"/>
      <c r="H9" s="242"/>
      <c r="I9" s="242"/>
      <c r="J9" s="242"/>
      <c r="K9" s="242"/>
      <c r="L9" s="242"/>
      <c r="M9" s="246"/>
      <c r="N9" s="133" t="s">
        <v>33</v>
      </c>
      <c r="O9" s="133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  <c r="AF9" s="242"/>
      <c r="AG9" s="245"/>
      <c r="AH9" s="158" t="s">
        <v>101</v>
      </c>
      <c r="AI9" s="158" t="s">
        <v>102</v>
      </c>
      <c r="AJ9" s="44" t="s">
        <v>68</v>
      </c>
      <c r="AK9" s="45" t="s">
        <v>69</v>
      </c>
    </row>
    <row r="10" spans="1:38" ht="15.75" x14ac:dyDescent="0.25">
      <c r="A10" s="134">
        <v>1</v>
      </c>
      <c r="B10" s="137">
        <v>2</v>
      </c>
      <c r="C10" s="136">
        <v>3</v>
      </c>
      <c r="D10" s="137">
        <v>4</v>
      </c>
      <c r="E10" s="136">
        <v>5</v>
      </c>
      <c r="F10" s="137">
        <v>6</v>
      </c>
      <c r="G10" s="136">
        <v>7</v>
      </c>
      <c r="H10" s="137">
        <v>8</v>
      </c>
      <c r="I10" s="136">
        <v>9</v>
      </c>
      <c r="J10" s="137">
        <v>10</v>
      </c>
      <c r="K10" s="136">
        <v>11</v>
      </c>
      <c r="L10" s="137">
        <v>12</v>
      </c>
      <c r="M10" s="136">
        <v>13</v>
      </c>
      <c r="N10" s="133">
        <v>14</v>
      </c>
      <c r="O10" s="137">
        <v>15</v>
      </c>
      <c r="P10" s="137">
        <f>O10+1</f>
        <v>16</v>
      </c>
      <c r="Q10" s="137">
        <f t="shared" ref="Q10:AD10" si="0">P10+1</f>
        <v>17</v>
      </c>
      <c r="R10" s="137">
        <f t="shared" si="0"/>
        <v>18</v>
      </c>
      <c r="S10" s="137">
        <f t="shared" si="0"/>
        <v>19</v>
      </c>
      <c r="T10" s="137">
        <f t="shared" si="0"/>
        <v>20</v>
      </c>
      <c r="U10" s="137">
        <f t="shared" si="0"/>
        <v>21</v>
      </c>
      <c r="V10" s="137">
        <f t="shared" si="0"/>
        <v>22</v>
      </c>
      <c r="W10" s="137">
        <f t="shared" si="0"/>
        <v>23</v>
      </c>
      <c r="X10" s="137">
        <f t="shared" si="0"/>
        <v>24</v>
      </c>
      <c r="Y10" s="137">
        <f t="shared" si="0"/>
        <v>25</v>
      </c>
      <c r="Z10" s="137">
        <f t="shared" si="0"/>
        <v>26</v>
      </c>
      <c r="AA10" s="137">
        <f t="shared" si="0"/>
        <v>27</v>
      </c>
      <c r="AB10" s="137">
        <f t="shared" si="0"/>
        <v>28</v>
      </c>
      <c r="AC10" s="137">
        <f t="shared" si="0"/>
        <v>29</v>
      </c>
      <c r="AD10" s="137">
        <f t="shared" si="0"/>
        <v>30</v>
      </c>
      <c r="AE10" s="137">
        <f>AF10+1</f>
        <v>32</v>
      </c>
      <c r="AF10" s="137">
        <f>AD10+1</f>
        <v>31</v>
      </c>
      <c r="AG10" s="15"/>
      <c r="AH10" s="178"/>
      <c r="AI10" s="178"/>
      <c r="AJ10" s="46"/>
      <c r="AK10" s="4"/>
    </row>
    <row r="11" spans="1:38" ht="78.75" x14ac:dyDescent="0.25">
      <c r="A11" s="154" t="s">
        <v>35</v>
      </c>
      <c r="B11" s="139" t="s">
        <v>36</v>
      </c>
      <c r="C11" s="139" t="s">
        <v>37</v>
      </c>
      <c r="D11" s="58" t="s">
        <v>38</v>
      </c>
      <c r="E11" s="122">
        <v>106614</v>
      </c>
      <c r="F11" s="80">
        <f t="shared" ref="F11:F43" si="1">SUM(G11,M11,Q11,R11,S11,T11,V11,W11,X11,AD11,P11,U11)</f>
        <v>4177.51</v>
      </c>
      <c r="G11" s="80">
        <f t="shared" ref="G11:G43" si="2">SUM(H11:L11)</f>
        <v>1742.66</v>
      </c>
      <c r="H11" s="80">
        <v>1338.45</v>
      </c>
      <c r="I11" s="80">
        <v>0</v>
      </c>
      <c r="J11" s="80">
        <v>0</v>
      </c>
      <c r="K11" s="80">
        <f t="shared" ref="K11:K43" si="3">ROUND(H11*0.302,2)</f>
        <v>404.21</v>
      </c>
      <c r="L11" s="80">
        <v>0</v>
      </c>
      <c r="M11" s="80">
        <v>209.66</v>
      </c>
      <c r="N11" s="80">
        <v>0</v>
      </c>
      <c r="O11" s="80">
        <v>65.849999999999994</v>
      </c>
      <c r="P11" s="80">
        <v>0</v>
      </c>
      <c r="Q11" s="80">
        <v>1.07</v>
      </c>
      <c r="R11" s="80">
        <v>197.05</v>
      </c>
      <c r="S11" s="80">
        <v>92.28</v>
      </c>
      <c r="T11" s="80">
        <v>485.06</v>
      </c>
      <c r="U11" s="80">
        <v>0</v>
      </c>
      <c r="V11" s="80">
        <v>18.63</v>
      </c>
      <c r="W11" s="80">
        <v>0</v>
      </c>
      <c r="X11" s="80">
        <f t="shared" ref="X11:X43" si="4">SUM(Y11:AC11)</f>
        <v>1366.25</v>
      </c>
      <c r="Y11" s="80">
        <v>1049.3499999999999</v>
      </c>
      <c r="Z11" s="80">
        <v>0</v>
      </c>
      <c r="AA11" s="80">
        <v>0</v>
      </c>
      <c r="AB11" s="80">
        <f t="shared" ref="AB11:AB43" si="5">ROUND(Y11*0.302,2)</f>
        <v>316.89999999999998</v>
      </c>
      <c r="AC11" s="80"/>
      <c r="AD11" s="175">
        <f>66.02-1.13-0.04</f>
        <v>64.849999999999994</v>
      </c>
      <c r="AE11" s="80">
        <f t="shared" ref="AE11:AE43" si="6">ROUND(E11*F11/1000,1)</f>
        <v>445381.1</v>
      </c>
      <c r="AF11" s="172">
        <v>788.6</v>
      </c>
      <c r="AG11" s="80">
        <f>SUM(AE11:AF13)</f>
        <v>454362.89999999997</v>
      </c>
      <c r="AH11" s="5">
        <v>454459.78952000011</v>
      </c>
      <c r="AI11" s="5">
        <f>AG11-AH11</f>
        <v>-96.889520000142511</v>
      </c>
      <c r="AJ11" s="47"/>
      <c r="AK11" s="55"/>
    </row>
    <row r="12" spans="1:38" ht="63" x14ac:dyDescent="0.25">
      <c r="A12" s="154" t="s">
        <v>35</v>
      </c>
      <c r="B12" s="139" t="s">
        <v>39</v>
      </c>
      <c r="C12" s="139" t="s">
        <v>40</v>
      </c>
      <c r="D12" s="58" t="s">
        <v>38</v>
      </c>
      <c r="E12" s="122">
        <v>215</v>
      </c>
      <c r="F12" s="80">
        <f t="shared" si="1"/>
        <v>32443.33</v>
      </c>
      <c r="G12" s="80">
        <f t="shared" si="2"/>
        <v>28052.89</v>
      </c>
      <c r="H12" s="80">
        <v>21546</v>
      </c>
      <c r="I12" s="80">
        <v>0</v>
      </c>
      <c r="J12" s="80">
        <v>0</v>
      </c>
      <c r="K12" s="80">
        <f t="shared" si="3"/>
        <v>6506.89</v>
      </c>
      <c r="L12" s="80">
        <v>0</v>
      </c>
      <c r="M12" s="80">
        <v>249.04</v>
      </c>
      <c r="N12" s="80">
        <v>0</v>
      </c>
      <c r="O12" s="80">
        <v>39.630000000000003</v>
      </c>
      <c r="P12" s="80">
        <v>0</v>
      </c>
      <c r="Q12" s="80">
        <v>55.16</v>
      </c>
      <c r="R12" s="80">
        <v>117.62</v>
      </c>
      <c r="S12" s="80">
        <v>561.74</v>
      </c>
      <c r="T12" s="80">
        <v>235.15</v>
      </c>
      <c r="U12" s="80">
        <v>0</v>
      </c>
      <c r="V12" s="80">
        <v>13.14</v>
      </c>
      <c r="W12" s="80">
        <v>0</v>
      </c>
      <c r="X12" s="80">
        <f t="shared" si="4"/>
        <v>2584.7799999999997</v>
      </c>
      <c r="Y12" s="80">
        <v>1985.24</v>
      </c>
      <c r="Z12" s="80">
        <v>0</v>
      </c>
      <c r="AA12" s="80">
        <v>0</v>
      </c>
      <c r="AB12" s="80">
        <f t="shared" si="5"/>
        <v>599.54</v>
      </c>
      <c r="AC12" s="80"/>
      <c r="AD12" s="175">
        <f>572.06+1.75</f>
        <v>573.80999999999995</v>
      </c>
      <c r="AE12" s="80">
        <f t="shared" si="6"/>
        <v>6975.3</v>
      </c>
      <c r="AF12" s="159">
        <v>0</v>
      </c>
      <c r="AG12" s="80"/>
      <c r="AH12" s="5"/>
      <c r="AI12" s="5"/>
      <c r="AJ12" s="47"/>
      <c r="AK12" s="55"/>
    </row>
    <row r="13" spans="1:38" ht="45" x14ac:dyDescent="0.25">
      <c r="A13" s="154" t="s">
        <v>35</v>
      </c>
      <c r="B13" s="139" t="s">
        <v>41</v>
      </c>
      <c r="C13" s="140" t="s">
        <v>42</v>
      </c>
      <c r="D13" s="58" t="s">
        <v>38</v>
      </c>
      <c r="E13" s="122">
        <v>10</v>
      </c>
      <c r="F13" s="80">
        <f t="shared" si="1"/>
        <v>121792.38</v>
      </c>
      <c r="G13" s="80">
        <f t="shared" si="2"/>
        <v>78555.39</v>
      </c>
      <c r="H13" s="80">
        <v>60334.400000000001</v>
      </c>
      <c r="I13" s="80">
        <v>0</v>
      </c>
      <c r="J13" s="80">
        <v>0</v>
      </c>
      <c r="K13" s="80">
        <f t="shared" si="3"/>
        <v>18220.990000000002</v>
      </c>
      <c r="L13" s="80">
        <v>0</v>
      </c>
      <c r="M13" s="80">
        <v>915.93</v>
      </c>
      <c r="N13" s="80">
        <v>0</v>
      </c>
      <c r="O13" s="80">
        <v>83.39</v>
      </c>
      <c r="P13" s="80">
        <v>0</v>
      </c>
      <c r="Q13" s="80">
        <v>12413.88</v>
      </c>
      <c r="R13" s="80">
        <v>464.46</v>
      </c>
      <c r="S13" s="80">
        <v>1224.76</v>
      </c>
      <c r="T13" s="80">
        <v>14333.18</v>
      </c>
      <c r="U13" s="80">
        <v>0</v>
      </c>
      <c r="V13" s="80">
        <v>67.3</v>
      </c>
      <c r="W13" s="80">
        <v>0</v>
      </c>
      <c r="X13" s="80">
        <f t="shared" si="4"/>
        <v>11143.62</v>
      </c>
      <c r="Y13" s="80">
        <v>8558.85</v>
      </c>
      <c r="Z13" s="80">
        <v>0</v>
      </c>
      <c r="AA13" s="80">
        <v>0</v>
      </c>
      <c r="AB13" s="80">
        <f t="shared" si="5"/>
        <v>2584.77</v>
      </c>
      <c r="AC13" s="80"/>
      <c r="AD13" s="80">
        <v>2673.86</v>
      </c>
      <c r="AE13" s="80">
        <f t="shared" si="6"/>
        <v>1217.9000000000001</v>
      </c>
      <c r="AF13" s="159">
        <v>0</v>
      </c>
      <c r="AG13" s="80"/>
      <c r="AH13" s="5"/>
      <c r="AI13" s="5"/>
      <c r="AJ13" s="47"/>
      <c r="AK13" s="55"/>
    </row>
    <row r="14" spans="1:38" ht="78.75" x14ac:dyDescent="0.25">
      <c r="A14" s="123" t="s">
        <v>43</v>
      </c>
      <c r="B14" s="139" t="s">
        <v>36</v>
      </c>
      <c r="C14" s="139" t="s">
        <v>37</v>
      </c>
      <c r="D14" s="139" t="s">
        <v>38</v>
      </c>
      <c r="E14" s="122">
        <v>48070</v>
      </c>
      <c r="F14" s="80">
        <f t="shared" si="1"/>
        <v>4326.04</v>
      </c>
      <c r="G14" s="80">
        <f t="shared" si="2"/>
        <v>1979.31</v>
      </c>
      <c r="H14" s="3">
        <v>1520.21</v>
      </c>
      <c r="I14" s="84">
        <v>0</v>
      </c>
      <c r="J14" s="3">
        <v>0</v>
      </c>
      <c r="K14" s="20">
        <f t="shared" si="3"/>
        <v>459.1</v>
      </c>
      <c r="L14" s="3">
        <v>0</v>
      </c>
      <c r="M14" s="84">
        <v>335.18</v>
      </c>
      <c r="N14" s="84">
        <v>81.13</v>
      </c>
      <c r="O14" s="84">
        <v>4.07</v>
      </c>
      <c r="P14" s="84">
        <v>0</v>
      </c>
      <c r="Q14" s="84">
        <v>177.34</v>
      </c>
      <c r="R14" s="3">
        <v>282.39999999999998</v>
      </c>
      <c r="S14" s="84">
        <v>116.23</v>
      </c>
      <c r="T14" s="3">
        <v>93.14</v>
      </c>
      <c r="U14" s="3">
        <v>0</v>
      </c>
      <c r="V14" s="84">
        <v>19.78</v>
      </c>
      <c r="W14" s="3">
        <v>0</v>
      </c>
      <c r="X14" s="20">
        <f t="shared" si="4"/>
        <v>1154.8000000000002</v>
      </c>
      <c r="Y14" s="85">
        <v>886.94</v>
      </c>
      <c r="Z14" s="84">
        <v>0</v>
      </c>
      <c r="AA14" s="3">
        <v>0</v>
      </c>
      <c r="AB14" s="20">
        <f t="shared" si="5"/>
        <v>267.86</v>
      </c>
      <c r="AC14" s="84"/>
      <c r="AD14" s="168">
        <f>167.63+0.23</f>
        <v>167.85999999999999</v>
      </c>
      <c r="AE14" s="20">
        <f t="shared" si="6"/>
        <v>207952.7</v>
      </c>
      <c r="AF14" s="173">
        <v>297.3</v>
      </c>
      <c r="AG14" s="130">
        <f>SUM(AE14:AF16)</f>
        <v>210528.4</v>
      </c>
      <c r="AH14" s="130">
        <v>210520.61239999998</v>
      </c>
      <c r="AI14" s="5">
        <f>AG14-AH14</f>
        <v>7.7876000000105705</v>
      </c>
      <c r="AJ14" s="55"/>
      <c r="AK14" s="55"/>
      <c r="AL14" s="128" t="s">
        <v>90</v>
      </c>
    </row>
    <row r="15" spans="1:38" ht="63" x14ac:dyDescent="0.25">
      <c r="A15" s="123" t="s">
        <v>43</v>
      </c>
      <c r="B15" s="139" t="s">
        <v>39</v>
      </c>
      <c r="C15" s="139" t="s">
        <v>40</v>
      </c>
      <c r="D15" s="139" t="s">
        <v>38</v>
      </c>
      <c r="E15" s="122">
        <v>60</v>
      </c>
      <c r="F15" s="80">
        <f t="shared" si="1"/>
        <v>32575.27</v>
      </c>
      <c r="G15" s="80">
        <f t="shared" si="2"/>
        <v>12063.68</v>
      </c>
      <c r="H15" s="3">
        <v>9265.5</v>
      </c>
      <c r="I15" s="84">
        <v>0</v>
      </c>
      <c r="J15" s="3">
        <v>0</v>
      </c>
      <c r="K15" s="20">
        <f t="shared" si="3"/>
        <v>2798.18</v>
      </c>
      <c r="L15" s="3">
        <v>0</v>
      </c>
      <c r="M15" s="84">
        <v>224.7</v>
      </c>
      <c r="N15" s="84">
        <v>0</v>
      </c>
      <c r="O15" s="84">
        <v>4.33</v>
      </c>
      <c r="P15" s="84">
        <v>0</v>
      </c>
      <c r="Q15" s="84">
        <v>2033.87</v>
      </c>
      <c r="R15" s="3">
        <v>91.66</v>
      </c>
      <c r="S15" s="84">
        <v>26.73</v>
      </c>
      <c r="T15" s="3">
        <v>0</v>
      </c>
      <c r="U15" s="3">
        <v>0</v>
      </c>
      <c r="V15" s="84">
        <v>19.68</v>
      </c>
      <c r="W15" s="3">
        <v>16519.09</v>
      </c>
      <c r="X15" s="20">
        <f t="shared" si="4"/>
        <v>1514.62</v>
      </c>
      <c r="Y15" s="85">
        <v>1163.3</v>
      </c>
      <c r="Z15" s="84">
        <v>0</v>
      </c>
      <c r="AA15" s="3">
        <v>0</v>
      </c>
      <c r="AB15" s="20">
        <f t="shared" si="5"/>
        <v>351.32</v>
      </c>
      <c r="AC15" s="84"/>
      <c r="AD15" s="168">
        <f>79.57+1.67</f>
        <v>81.239999999999995</v>
      </c>
      <c r="AE15" s="20">
        <f t="shared" si="6"/>
        <v>1954.5</v>
      </c>
      <c r="AF15" s="84">
        <v>0</v>
      </c>
      <c r="AG15" s="3"/>
      <c r="AH15" s="3"/>
      <c r="AI15" s="3"/>
      <c r="AJ15" s="55"/>
      <c r="AK15" s="55"/>
    </row>
    <row r="16" spans="1:38" ht="47.25" x14ac:dyDescent="0.25">
      <c r="A16" s="123" t="s">
        <v>43</v>
      </c>
      <c r="B16" s="139" t="s">
        <v>41</v>
      </c>
      <c r="C16" s="139" t="s">
        <v>42</v>
      </c>
      <c r="D16" s="139" t="s">
        <v>38</v>
      </c>
      <c r="E16" s="122">
        <v>1</v>
      </c>
      <c r="F16" s="80">
        <f t="shared" si="1"/>
        <v>323871.60000000009</v>
      </c>
      <c r="G16" s="80">
        <f t="shared" si="2"/>
        <v>281541.03000000003</v>
      </c>
      <c r="H16" s="3">
        <v>216237.35</v>
      </c>
      <c r="I16" s="84">
        <v>0</v>
      </c>
      <c r="J16" s="3">
        <v>0</v>
      </c>
      <c r="K16" s="20">
        <f t="shared" si="3"/>
        <v>65303.68</v>
      </c>
      <c r="L16" s="3">
        <v>0</v>
      </c>
      <c r="M16" s="84">
        <v>29632.28</v>
      </c>
      <c r="N16" s="84">
        <v>264.36</v>
      </c>
      <c r="O16" s="84">
        <v>0</v>
      </c>
      <c r="P16" s="84">
        <v>0</v>
      </c>
      <c r="Q16" s="84">
        <v>5500</v>
      </c>
      <c r="R16" s="3">
        <v>481.84</v>
      </c>
      <c r="S16" s="84">
        <v>182.13</v>
      </c>
      <c r="T16" s="3">
        <v>0</v>
      </c>
      <c r="U16" s="3">
        <v>0</v>
      </c>
      <c r="V16" s="84">
        <v>24.38</v>
      </c>
      <c r="W16" s="3">
        <v>0</v>
      </c>
      <c r="X16" s="20">
        <f t="shared" si="4"/>
        <v>5522.07</v>
      </c>
      <c r="Y16" s="85">
        <v>4241.22</v>
      </c>
      <c r="Z16" s="84">
        <v>0</v>
      </c>
      <c r="AA16" s="3">
        <v>0</v>
      </c>
      <c r="AB16" s="20">
        <f t="shared" si="5"/>
        <v>1280.8499999999999</v>
      </c>
      <c r="AC16" s="84"/>
      <c r="AD16" s="84">
        <v>987.87</v>
      </c>
      <c r="AE16" s="20">
        <f t="shared" si="6"/>
        <v>323.89999999999998</v>
      </c>
      <c r="AF16" s="84">
        <v>0</v>
      </c>
      <c r="AG16" s="3"/>
      <c r="AH16" s="3"/>
      <c r="AI16" s="3"/>
      <c r="AJ16" s="55"/>
      <c r="AK16" s="55"/>
    </row>
    <row r="17" spans="1:38" ht="78.75" x14ac:dyDescent="0.25">
      <c r="A17" s="123" t="s">
        <v>44</v>
      </c>
      <c r="B17" s="139" t="s">
        <v>36</v>
      </c>
      <c r="C17" s="139" t="s">
        <v>37</v>
      </c>
      <c r="D17" s="139" t="s">
        <v>45</v>
      </c>
      <c r="E17" s="188">
        <v>120528</v>
      </c>
      <c r="F17" s="80">
        <f t="shared" si="1"/>
        <v>3086.2000000000003</v>
      </c>
      <c r="G17" s="80">
        <f t="shared" si="2"/>
        <v>1246.3499999999999</v>
      </c>
      <c r="H17" s="3">
        <v>957.26</v>
      </c>
      <c r="I17" s="84">
        <v>0</v>
      </c>
      <c r="J17" s="3">
        <v>0</v>
      </c>
      <c r="K17" s="20">
        <f t="shared" si="3"/>
        <v>289.08999999999997</v>
      </c>
      <c r="L17" s="3">
        <v>0</v>
      </c>
      <c r="M17" s="84">
        <v>324.72000000000003</v>
      </c>
      <c r="N17" s="84">
        <v>73.47</v>
      </c>
      <c r="O17" s="84">
        <v>56.72</v>
      </c>
      <c r="P17" s="84">
        <v>0</v>
      </c>
      <c r="Q17" s="84">
        <v>71.53</v>
      </c>
      <c r="R17" s="3">
        <v>85.93</v>
      </c>
      <c r="S17" s="84">
        <v>330.2</v>
      </c>
      <c r="T17" s="3">
        <v>52.77</v>
      </c>
      <c r="U17" s="3">
        <v>0</v>
      </c>
      <c r="V17" s="84">
        <v>11.19</v>
      </c>
      <c r="W17" s="3">
        <v>0</v>
      </c>
      <c r="X17" s="20">
        <f t="shared" si="4"/>
        <v>955.32</v>
      </c>
      <c r="Y17" s="85">
        <v>733.73</v>
      </c>
      <c r="Z17" s="84">
        <v>0</v>
      </c>
      <c r="AA17" s="3">
        <v>0</v>
      </c>
      <c r="AB17" s="20">
        <f t="shared" si="5"/>
        <v>221.59</v>
      </c>
      <c r="AC17" s="84"/>
      <c r="AD17" s="168">
        <f>21.11-12.92</f>
        <v>8.19</v>
      </c>
      <c r="AE17" s="20">
        <f t="shared" si="6"/>
        <v>371973.5</v>
      </c>
      <c r="AF17" s="173">
        <v>398.4</v>
      </c>
      <c r="AG17" s="3">
        <f>SUM(AE17:AF19)</f>
        <v>379072.10000000003</v>
      </c>
      <c r="AH17" s="3">
        <v>379073</v>
      </c>
      <c r="AI17" s="5">
        <f>AG17-AH17</f>
        <v>-0.8999999999650754</v>
      </c>
      <c r="AJ17" s="55"/>
      <c r="AK17" s="55"/>
      <c r="AL17" s="3">
        <f>AI17/F17*1000</f>
        <v>-0.29162076338703757</v>
      </c>
    </row>
    <row r="18" spans="1:38" ht="63" x14ac:dyDescent="0.25">
      <c r="A18" s="123" t="s">
        <v>44</v>
      </c>
      <c r="B18" s="139" t="s">
        <v>39</v>
      </c>
      <c r="C18" s="139" t="s">
        <v>40</v>
      </c>
      <c r="D18" s="139" t="s">
        <v>45</v>
      </c>
      <c r="E18" s="122">
        <v>334</v>
      </c>
      <c r="F18" s="80">
        <f t="shared" si="1"/>
        <v>20060.52</v>
      </c>
      <c r="G18" s="80">
        <f t="shared" si="2"/>
        <v>12561.7</v>
      </c>
      <c r="H18" s="3">
        <v>9648</v>
      </c>
      <c r="I18" s="84">
        <v>0</v>
      </c>
      <c r="J18" s="3">
        <v>0</v>
      </c>
      <c r="K18" s="20">
        <f t="shared" si="3"/>
        <v>2913.7</v>
      </c>
      <c r="L18" s="3">
        <v>0</v>
      </c>
      <c r="M18" s="84">
        <v>700.4</v>
      </c>
      <c r="N18" s="84">
        <v>0</v>
      </c>
      <c r="O18" s="84">
        <v>487.07</v>
      </c>
      <c r="P18" s="84">
        <v>0</v>
      </c>
      <c r="Q18" s="84">
        <v>522.66999999999996</v>
      </c>
      <c r="R18" s="3">
        <v>410.47</v>
      </c>
      <c r="S18" s="84">
        <v>1291.3499999999999</v>
      </c>
      <c r="T18" s="3">
        <v>0</v>
      </c>
      <c r="U18" s="3">
        <v>0</v>
      </c>
      <c r="V18" s="84">
        <v>137.66999999999999</v>
      </c>
      <c r="W18" s="3">
        <v>0</v>
      </c>
      <c r="X18" s="20">
        <f t="shared" si="4"/>
        <v>3290.2599999999998</v>
      </c>
      <c r="Y18" s="85">
        <v>2527.08</v>
      </c>
      <c r="Z18" s="84">
        <v>0</v>
      </c>
      <c r="AA18" s="3">
        <v>0</v>
      </c>
      <c r="AB18" s="20">
        <f t="shared" si="5"/>
        <v>763.18</v>
      </c>
      <c r="AC18" s="84"/>
      <c r="AD18" s="168">
        <f>1146.67-0.67</f>
        <v>1146</v>
      </c>
      <c r="AE18" s="20">
        <f t="shared" si="6"/>
        <v>6700.2</v>
      </c>
      <c r="AF18" s="84">
        <v>0</v>
      </c>
      <c r="AG18" s="3"/>
      <c r="AH18" s="3"/>
      <c r="AI18" s="3"/>
      <c r="AJ18" s="55"/>
      <c r="AK18" s="55"/>
    </row>
    <row r="19" spans="1:38" ht="47.25" x14ac:dyDescent="0.25">
      <c r="A19" s="123" t="s">
        <v>44</v>
      </c>
      <c r="B19" s="139" t="s">
        <v>41</v>
      </c>
      <c r="C19" s="139" t="s">
        <v>42</v>
      </c>
      <c r="D19" s="139" t="s">
        <v>38</v>
      </c>
      <c r="E19" s="122">
        <v>0</v>
      </c>
      <c r="F19" s="80">
        <f t="shared" si="1"/>
        <v>0</v>
      </c>
      <c r="G19" s="80">
        <f t="shared" si="2"/>
        <v>0</v>
      </c>
      <c r="H19" s="3">
        <v>0</v>
      </c>
      <c r="I19" s="84">
        <v>0</v>
      </c>
      <c r="J19" s="3">
        <v>0</v>
      </c>
      <c r="K19" s="20">
        <f t="shared" si="3"/>
        <v>0</v>
      </c>
      <c r="L19" s="3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3">
        <v>0</v>
      </c>
      <c r="S19" s="84">
        <v>0</v>
      </c>
      <c r="T19" s="3">
        <v>0</v>
      </c>
      <c r="U19" s="3">
        <v>0</v>
      </c>
      <c r="V19" s="84">
        <v>0</v>
      </c>
      <c r="W19" s="3">
        <v>0</v>
      </c>
      <c r="X19" s="20">
        <f t="shared" si="4"/>
        <v>0</v>
      </c>
      <c r="Y19" s="85">
        <v>0</v>
      </c>
      <c r="Z19" s="84">
        <v>0</v>
      </c>
      <c r="AA19" s="3">
        <v>0</v>
      </c>
      <c r="AB19" s="20">
        <f t="shared" si="5"/>
        <v>0</v>
      </c>
      <c r="AC19" s="84"/>
      <c r="AD19" s="84">
        <v>0</v>
      </c>
      <c r="AE19" s="20">
        <f t="shared" si="6"/>
        <v>0</v>
      </c>
      <c r="AF19" s="84">
        <v>0</v>
      </c>
      <c r="AG19" s="3"/>
      <c r="AH19" s="3"/>
      <c r="AI19" s="3"/>
      <c r="AJ19" s="55"/>
      <c r="AK19" s="55"/>
    </row>
    <row r="20" spans="1:38" ht="78.75" x14ac:dyDescent="0.25">
      <c r="A20" s="123" t="s">
        <v>46</v>
      </c>
      <c r="B20" s="141" t="s">
        <v>36</v>
      </c>
      <c r="C20" s="139" t="s">
        <v>37</v>
      </c>
      <c r="D20" s="141" t="s">
        <v>45</v>
      </c>
      <c r="E20" s="186">
        <f>26281+10376</f>
        <v>36657</v>
      </c>
      <c r="F20" s="80">
        <f t="shared" si="1"/>
        <v>8592.6299999999992</v>
      </c>
      <c r="G20" s="80">
        <f t="shared" si="2"/>
        <v>4810.28</v>
      </c>
      <c r="H20" s="3">
        <v>3640.92</v>
      </c>
      <c r="I20" s="84">
        <v>0</v>
      </c>
      <c r="J20" s="3">
        <v>0</v>
      </c>
      <c r="K20" s="20">
        <f t="shared" si="3"/>
        <v>1099.56</v>
      </c>
      <c r="L20" s="3">
        <v>69.8</v>
      </c>
      <c r="M20" s="84">
        <v>751.83</v>
      </c>
      <c r="N20" s="84">
        <v>157.36000000000001</v>
      </c>
      <c r="O20" s="84">
        <v>20.66</v>
      </c>
      <c r="P20" s="84">
        <v>0</v>
      </c>
      <c r="Q20" s="84">
        <v>0</v>
      </c>
      <c r="R20" s="3">
        <v>287.26</v>
      </c>
      <c r="S20" s="84">
        <v>469.01</v>
      </c>
      <c r="T20" s="3">
        <v>598.46</v>
      </c>
      <c r="U20" s="3">
        <v>0</v>
      </c>
      <c r="V20" s="84">
        <v>9.66</v>
      </c>
      <c r="W20" s="3">
        <v>0</v>
      </c>
      <c r="X20" s="20">
        <f t="shared" si="4"/>
        <v>1610.6499999999999</v>
      </c>
      <c r="Y20" s="85">
        <v>1237.06</v>
      </c>
      <c r="Z20" s="84">
        <v>0</v>
      </c>
      <c r="AA20" s="3">
        <v>0</v>
      </c>
      <c r="AB20" s="20">
        <f t="shared" si="5"/>
        <v>373.59</v>
      </c>
      <c r="AC20" s="84"/>
      <c r="AD20" s="168">
        <f>60.26-4.78</f>
        <v>55.48</v>
      </c>
      <c r="AE20" s="20">
        <f t="shared" si="6"/>
        <v>314980</v>
      </c>
      <c r="AF20" s="173">
        <v>93.5</v>
      </c>
      <c r="AG20" s="3">
        <f>SUM(AE20:AF22)</f>
        <v>318314.40000000002</v>
      </c>
      <c r="AH20" s="3">
        <v>318387.58444590174</v>
      </c>
      <c r="AI20" s="5">
        <f>AG20-AH20</f>
        <v>-73.184445901715662</v>
      </c>
      <c r="AJ20" s="55"/>
      <c r="AK20" s="55"/>
    </row>
    <row r="21" spans="1:38" ht="63" x14ac:dyDescent="0.25">
      <c r="A21" s="123" t="s">
        <v>46</v>
      </c>
      <c r="B21" s="141" t="s">
        <v>39</v>
      </c>
      <c r="C21" s="139" t="s">
        <v>40</v>
      </c>
      <c r="D21" s="141" t="s">
        <v>45</v>
      </c>
      <c r="E21" s="186">
        <f>100+38</f>
        <v>138</v>
      </c>
      <c r="F21" s="80">
        <f t="shared" si="1"/>
        <v>23484.61</v>
      </c>
      <c r="G21" s="80">
        <f t="shared" si="2"/>
        <v>12084.92</v>
      </c>
      <c r="H21" s="5">
        <v>8744.31</v>
      </c>
      <c r="I21" s="164">
        <v>0</v>
      </c>
      <c r="J21" s="5">
        <v>0</v>
      </c>
      <c r="K21" s="80">
        <f t="shared" si="3"/>
        <v>2640.78</v>
      </c>
      <c r="L21" s="5">
        <v>699.83</v>
      </c>
      <c r="M21" s="164">
        <v>528.76</v>
      </c>
      <c r="N21" s="84">
        <v>394.74</v>
      </c>
      <c r="O21" s="84">
        <v>0</v>
      </c>
      <c r="P21" s="84">
        <v>0</v>
      </c>
      <c r="Q21" s="84">
        <v>1997.38</v>
      </c>
      <c r="R21" s="3">
        <v>0</v>
      </c>
      <c r="S21" s="84">
        <v>0</v>
      </c>
      <c r="T21" s="3">
        <v>0</v>
      </c>
      <c r="U21" s="3">
        <v>0</v>
      </c>
      <c r="V21" s="84">
        <v>38.380000000000003</v>
      </c>
      <c r="W21" s="3">
        <v>0</v>
      </c>
      <c r="X21" s="20">
        <f t="shared" si="4"/>
        <v>8177.2800000000007</v>
      </c>
      <c r="Y21" s="85">
        <v>6280.55</v>
      </c>
      <c r="Z21" s="84">
        <v>0</v>
      </c>
      <c r="AA21" s="3">
        <v>0</v>
      </c>
      <c r="AB21" s="20">
        <f t="shared" si="5"/>
        <v>1896.73</v>
      </c>
      <c r="AC21" s="84"/>
      <c r="AD21" s="84">
        <v>657.89</v>
      </c>
      <c r="AE21" s="20">
        <f t="shared" si="6"/>
        <v>3240.9</v>
      </c>
      <c r="AF21" s="84">
        <v>0</v>
      </c>
      <c r="AG21" s="3"/>
      <c r="AH21" s="3"/>
      <c r="AI21" s="3"/>
      <c r="AJ21" s="55"/>
      <c r="AK21" s="55"/>
    </row>
    <row r="22" spans="1:38" ht="47.25" x14ac:dyDescent="0.25">
      <c r="A22" s="123" t="s">
        <v>46</v>
      </c>
      <c r="B22" s="139" t="s">
        <v>41</v>
      </c>
      <c r="C22" s="139" t="s">
        <v>42</v>
      </c>
      <c r="D22" s="141" t="s">
        <v>38</v>
      </c>
      <c r="E22" s="122">
        <v>0</v>
      </c>
      <c r="F22" s="80">
        <f t="shared" si="1"/>
        <v>0</v>
      </c>
      <c r="G22" s="80">
        <f t="shared" si="2"/>
        <v>0</v>
      </c>
      <c r="H22" s="3">
        <v>0</v>
      </c>
      <c r="I22" s="84">
        <v>0</v>
      </c>
      <c r="J22" s="3">
        <v>0</v>
      </c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3">
        <v>0</v>
      </c>
      <c r="S22" s="84">
        <v>0</v>
      </c>
      <c r="T22" s="3">
        <v>0</v>
      </c>
      <c r="U22" s="3">
        <v>0</v>
      </c>
      <c r="V22" s="84">
        <v>0</v>
      </c>
      <c r="W22" s="3">
        <v>0</v>
      </c>
      <c r="X22" s="20">
        <f t="shared" si="4"/>
        <v>0</v>
      </c>
      <c r="Y22" s="85">
        <v>0</v>
      </c>
      <c r="Z22" s="84">
        <v>0</v>
      </c>
      <c r="AA22" s="3">
        <v>0</v>
      </c>
      <c r="AB22" s="20">
        <f t="shared" si="5"/>
        <v>0</v>
      </c>
      <c r="AC22" s="84"/>
      <c r="AD22" s="84">
        <v>0</v>
      </c>
      <c r="AE22" s="20">
        <f t="shared" si="6"/>
        <v>0</v>
      </c>
      <c r="AF22" s="84">
        <v>0</v>
      </c>
      <c r="AG22" s="3"/>
      <c r="AH22" s="3"/>
      <c r="AI22" s="3"/>
      <c r="AJ22" s="55"/>
      <c r="AK22" s="55"/>
    </row>
    <row r="23" spans="1:38" ht="78.75" x14ac:dyDescent="0.25">
      <c r="A23" s="123" t="s">
        <v>47</v>
      </c>
      <c r="B23" s="139" t="s">
        <v>36</v>
      </c>
      <c r="C23" s="139" t="s">
        <v>37</v>
      </c>
      <c r="D23" s="142" t="s">
        <v>38</v>
      </c>
      <c r="E23" s="143">
        <v>43300</v>
      </c>
      <c r="F23" s="80">
        <f t="shared" si="1"/>
        <v>5925.2099999999991</v>
      </c>
      <c r="G23" s="80">
        <f t="shared" si="2"/>
        <v>3485.0899999999997</v>
      </c>
      <c r="H23" s="20">
        <v>2676.72</v>
      </c>
      <c r="I23" s="25">
        <v>0</v>
      </c>
      <c r="J23" s="25">
        <v>0</v>
      </c>
      <c r="K23" s="20">
        <f t="shared" si="3"/>
        <v>808.37</v>
      </c>
      <c r="L23" s="25">
        <v>0</v>
      </c>
      <c r="M23" s="21">
        <v>725.56</v>
      </c>
      <c r="N23" s="25">
        <v>160.72</v>
      </c>
      <c r="O23" s="25">
        <v>38.21</v>
      </c>
      <c r="P23" s="26">
        <v>0</v>
      </c>
      <c r="Q23" s="25">
        <v>255.07</v>
      </c>
      <c r="R23" s="25">
        <v>175.38</v>
      </c>
      <c r="S23" s="25">
        <v>295.02</v>
      </c>
      <c r="T23" s="25">
        <v>9</v>
      </c>
      <c r="U23" s="20">
        <v>0</v>
      </c>
      <c r="V23" s="25">
        <v>24.46</v>
      </c>
      <c r="W23" s="25">
        <v>45.45</v>
      </c>
      <c r="X23" s="20">
        <f t="shared" si="4"/>
        <v>895.13</v>
      </c>
      <c r="Y23" s="27">
        <v>687.5</v>
      </c>
      <c r="Z23" s="27">
        <v>0</v>
      </c>
      <c r="AA23" s="27">
        <v>0</v>
      </c>
      <c r="AB23" s="20">
        <f t="shared" si="5"/>
        <v>207.63</v>
      </c>
      <c r="AC23" s="25">
        <v>0</v>
      </c>
      <c r="AD23" s="176">
        <f>24.05-9</f>
        <v>15.05</v>
      </c>
      <c r="AE23" s="20">
        <f t="shared" si="6"/>
        <v>256561.6</v>
      </c>
      <c r="AF23" s="174">
        <v>324.3</v>
      </c>
      <c r="AG23" s="237">
        <f>ROUND(AE23+AE24+AE25+AF23,1)</f>
        <v>263639.90000000002</v>
      </c>
      <c r="AH23" s="3">
        <v>264002.89999999997</v>
      </c>
      <c r="AI23" s="5">
        <f>AG23-AH23</f>
        <v>-362.99999999994179</v>
      </c>
      <c r="AJ23" s="47">
        <f t="shared" ref="AJ23:AJ25" si="7">(G23+X23)*E23/1000</f>
        <v>189663.52599999998</v>
      </c>
      <c r="AK23" s="55">
        <v>80329.582241999989</v>
      </c>
    </row>
    <row r="24" spans="1:38" ht="63" x14ac:dyDescent="0.25">
      <c r="A24" s="123" t="s">
        <v>47</v>
      </c>
      <c r="B24" s="139" t="s">
        <v>39</v>
      </c>
      <c r="C24" s="139" t="s">
        <v>40</v>
      </c>
      <c r="D24" s="142" t="s">
        <v>38</v>
      </c>
      <c r="E24" s="143">
        <v>220</v>
      </c>
      <c r="F24" s="80">
        <f t="shared" si="1"/>
        <v>16045.209999999995</v>
      </c>
      <c r="G24" s="80">
        <f t="shared" si="2"/>
        <v>11247.929999999998</v>
      </c>
      <c r="H24" s="20">
        <v>8638.9599999999991</v>
      </c>
      <c r="I24" s="25">
        <v>0</v>
      </c>
      <c r="J24" s="25">
        <v>0</v>
      </c>
      <c r="K24" s="20">
        <f t="shared" si="3"/>
        <v>2608.9699999999998</v>
      </c>
      <c r="L24" s="25">
        <v>0</v>
      </c>
      <c r="M24" s="25">
        <v>1490.06</v>
      </c>
      <c r="N24" s="25">
        <v>0</v>
      </c>
      <c r="O24" s="25">
        <v>0</v>
      </c>
      <c r="P24" s="26">
        <v>0</v>
      </c>
      <c r="Q24" s="25">
        <v>1847.73</v>
      </c>
      <c r="R24" s="25">
        <v>175.38</v>
      </c>
      <c r="S24" s="25">
        <v>295.02</v>
      </c>
      <c r="T24" s="25">
        <v>0</v>
      </c>
      <c r="U24" s="20">
        <v>0</v>
      </c>
      <c r="V24" s="25">
        <v>24.46</v>
      </c>
      <c r="W24" s="25">
        <v>45.45</v>
      </c>
      <c r="X24" s="20">
        <f t="shared" si="4"/>
        <v>895.13</v>
      </c>
      <c r="Y24" s="27">
        <v>687.5</v>
      </c>
      <c r="Z24" s="27">
        <v>0</v>
      </c>
      <c r="AA24" s="27">
        <v>0</v>
      </c>
      <c r="AB24" s="20">
        <f t="shared" si="5"/>
        <v>207.63</v>
      </c>
      <c r="AC24" s="25">
        <v>0</v>
      </c>
      <c r="AD24" s="25">
        <v>24.05</v>
      </c>
      <c r="AE24" s="20">
        <f t="shared" si="6"/>
        <v>3529.9</v>
      </c>
      <c r="AF24" s="160">
        <v>0</v>
      </c>
      <c r="AG24" s="237"/>
      <c r="AH24" s="3"/>
      <c r="AI24" s="3"/>
      <c r="AJ24" s="47">
        <f t="shared" si="7"/>
        <v>2671.4731999999995</v>
      </c>
      <c r="AK24" s="55">
        <v>2678.9424660000004</v>
      </c>
    </row>
    <row r="25" spans="1:38" ht="45" x14ac:dyDescent="0.25">
      <c r="A25" s="123" t="s">
        <v>47</v>
      </c>
      <c r="B25" s="139" t="s">
        <v>41</v>
      </c>
      <c r="C25" s="140" t="s">
        <v>42</v>
      </c>
      <c r="D25" s="142" t="s">
        <v>38</v>
      </c>
      <c r="E25" s="143">
        <v>30</v>
      </c>
      <c r="F25" s="80">
        <f t="shared" si="1"/>
        <v>107471.55000000003</v>
      </c>
      <c r="G25" s="80">
        <f t="shared" si="2"/>
        <v>78950.510000000009</v>
      </c>
      <c r="H25" s="20">
        <v>60637.87</v>
      </c>
      <c r="I25" s="20">
        <v>0</v>
      </c>
      <c r="J25" s="20">
        <v>0</v>
      </c>
      <c r="K25" s="20">
        <f t="shared" si="3"/>
        <v>18312.64</v>
      </c>
      <c r="L25" s="20">
        <v>0</v>
      </c>
      <c r="M25" s="20">
        <v>2311.5500000000002</v>
      </c>
      <c r="N25" s="20">
        <v>0</v>
      </c>
      <c r="O25" s="20">
        <v>0</v>
      </c>
      <c r="P25" s="20">
        <v>0</v>
      </c>
      <c r="Q25" s="20">
        <v>24750</v>
      </c>
      <c r="R25" s="20">
        <v>175.38</v>
      </c>
      <c r="S25" s="20">
        <v>295.02</v>
      </c>
      <c r="T25" s="20">
        <v>0</v>
      </c>
      <c r="U25" s="20">
        <v>0</v>
      </c>
      <c r="V25" s="20">
        <v>24.46</v>
      </c>
      <c r="W25" s="27">
        <v>45.45</v>
      </c>
      <c r="X25" s="20">
        <f t="shared" si="4"/>
        <v>895.13</v>
      </c>
      <c r="Y25" s="27">
        <v>687.5</v>
      </c>
      <c r="Z25" s="20">
        <v>0</v>
      </c>
      <c r="AA25" s="20">
        <v>0</v>
      </c>
      <c r="AB25" s="20">
        <f t="shared" si="5"/>
        <v>207.63</v>
      </c>
      <c r="AC25" s="25">
        <v>0</v>
      </c>
      <c r="AD25" s="25">
        <v>24.05</v>
      </c>
      <c r="AE25" s="20">
        <f t="shared" si="6"/>
        <v>3224.1</v>
      </c>
      <c r="AF25" s="91">
        <v>0</v>
      </c>
      <c r="AG25" s="237"/>
      <c r="AH25" s="3"/>
      <c r="AI25" s="3"/>
      <c r="AJ25" s="47">
        <f t="shared" si="7"/>
        <v>2395.3692000000001</v>
      </c>
      <c r="AK25" s="55">
        <v>2332.5985570000003</v>
      </c>
    </row>
    <row r="26" spans="1:38" ht="78.75" x14ac:dyDescent="0.25">
      <c r="A26" s="123" t="s">
        <v>48</v>
      </c>
      <c r="B26" s="139" t="s">
        <v>49</v>
      </c>
      <c r="C26" s="139" t="s">
        <v>37</v>
      </c>
      <c r="D26" s="58" t="s">
        <v>38</v>
      </c>
      <c r="E26" s="122">
        <v>57470</v>
      </c>
      <c r="F26" s="80">
        <f t="shared" si="1"/>
        <v>4657.74</v>
      </c>
      <c r="G26" s="80">
        <f t="shared" si="2"/>
        <v>2225.4</v>
      </c>
      <c r="H26" s="3">
        <v>1709.22</v>
      </c>
      <c r="I26" s="84"/>
      <c r="J26" s="3"/>
      <c r="K26" s="20">
        <f t="shared" si="3"/>
        <v>516.17999999999995</v>
      </c>
      <c r="L26" s="3"/>
      <c r="M26" s="84">
        <v>376.81</v>
      </c>
      <c r="N26" s="84">
        <v>0</v>
      </c>
      <c r="O26" s="84">
        <v>46.11</v>
      </c>
      <c r="P26" s="84">
        <v>0</v>
      </c>
      <c r="Q26" s="84">
        <v>160.76</v>
      </c>
      <c r="R26" s="3">
        <v>50.62</v>
      </c>
      <c r="S26" s="84">
        <v>418.69</v>
      </c>
      <c r="T26" s="3">
        <v>20.2</v>
      </c>
      <c r="U26" s="3">
        <v>0</v>
      </c>
      <c r="V26" s="84">
        <v>14.62</v>
      </c>
      <c r="W26" s="3">
        <v>0</v>
      </c>
      <c r="X26" s="20">
        <f t="shared" si="4"/>
        <v>1221.8600000000001</v>
      </c>
      <c r="Y26" s="85">
        <v>938.45</v>
      </c>
      <c r="Z26" s="84"/>
      <c r="AA26" s="3"/>
      <c r="AB26" s="20">
        <f t="shared" si="5"/>
        <v>283.41000000000003</v>
      </c>
      <c r="AC26" s="84"/>
      <c r="AD26" s="168">
        <f>169.5-0.72</f>
        <v>168.78</v>
      </c>
      <c r="AE26" s="20">
        <f t="shared" si="6"/>
        <v>267680.3</v>
      </c>
      <c r="AF26" s="173">
        <v>656.9</v>
      </c>
      <c r="AG26" s="237">
        <f>ROUND(AE26+AE27+AE28+AF26,1)</f>
        <v>270672.5</v>
      </c>
      <c r="AH26" s="3">
        <v>269873.79620000004</v>
      </c>
      <c r="AI26" s="5">
        <f>AG26-AH26</f>
        <v>798.7037999999593</v>
      </c>
      <c r="AJ26" s="55"/>
      <c r="AK26" s="55"/>
    </row>
    <row r="27" spans="1:38" ht="63" x14ac:dyDescent="0.25">
      <c r="A27" s="123" t="s">
        <v>48</v>
      </c>
      <c r="B27" s="139" t="s">
        <v>50</v>
      </c>
      <c r="C27" s="139" t="s">
        <v>40</v>
      </c>
      <c r="D27" s="58" t="s">
        <v>38</v>
      </c>
      <c r="E27" s="122">
        <v>117</v>
      </c>
      <c r="F27" s="120">
        <f t="shared" si="1"/>
        <v>15426.37</v>
      </c>
      <c r="G27" s="80">
        <f t="shared" si="2"/>
        <v>11064.29</v>
      </c>
      <c r="H27" s="3">
        <v>8497.92</v>
      </c>
      <c r="I27" s="3">
        <v>0</v>
      </c>
      <c r="J27" s="3">
        <v>0</v>
      </c>
      <c r="K27" s="20">
        <f t="shared" si="3"/>
        <v>2566.37</v>
      </c>
      <c r="L27" s="3">
        <v>0</v>
      </c>
      <c r="M27" s="3">
        <v>1200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f>Y27+Z27+AA27+AB27+AC27</f>
        <v>0</v>
      </c>
      <c r="Y27" s="3">
        <v>0</v>
      </c>
      <c r="Z27" s="3">
        <v>0</v>
      </c>
      <c r="AA27" s="3">
        <v>0</v>
      </c>
      <c r="AB27" s="20">
        <f t="shared" si="5"/>
        <v>0</v>
      </c>
      <c r="AC27" s="3">
        <v>0</v>
      </c>
      <c r="AD27" s="181">
        <f>3166.08-4</f>
        <v>3162.08</v>
      </c>
      <c r="AE27" s="3">
        <f t="shared" si="6"/>
        <v>1804.9</v>
      </c>
      <c r="AF27" s="84">
        <v>0</v>
      </c>
      <c r="AG27" s="237"/>
      <c r="AH27" s="3"/>
      <c r="AI27" s="3"/>
      <c r="AJ27" s="55"/>
      <c r="AK27" s="55"/>
    </row>
    <row r="28" spans="1:38" ht="45" x14ac:dyDescent="0.25">
      <c r="A28" s="123" t="s">
        <v>48</v>
      </c>
      <c r="B28" s="139" t="s">
        <v>41</v>
      </c>
      <c r="C28" s="140" t="s">
        <v>42</v>
      </c>
      <c r="D28" s="142" t="s">
        <v>38</v>
      </c>
      <c r="E28" s="122">
        <v>6</v>
      </c>
      <c r="F28" s="80">
        <f t="shared" si="1"/>
        <v>88406.28</v>
      </c>
      <c r="G28" s="80">
        <f t="shared" si="2"/>
        <v>65420.659999999996</v>
      </c>
      <c r="H28" s="3">
        <v>50246.28</v>
      </c>
      <c r="I28" s="84"/>
      <c r="J28" s="3"/>
      <c r="K28" s="20">
        <f t="shared" si="3"/>
        <v>15174.38</v>
      </c>
      <c r="L28" s="3"/>
      <c r="M28" s="84">
        <v>8833.33</v>
      </c>
      <c r="N28" s="84">
        <v>0</v>
      </c>
      <c r="O28" s="84">
        <v>8833.33</v>
      </c>
      <c r="P28" s="84">
        <v>0</v>
      </c>
      <c r="Q28" s="84">
        <v>500</v>
      </c>
      <c r="R28" s="3">
        <v>0</v>
      </c>
      <c r="S28" s="84">
        <v>0</v>
      </c>
      <c r="T28" s="3">
        <v>1066.69</v>
      </c>
      <c r="U28" s="3">
        <v>0</v>
      </c>
      <c r="V28" s="84">
        <v>0</v>
      </c>
      <c r="W28" s="3">
        <v>0</v>
      </c>
      <c r="X28" s="20">
        <f t="shared" si="4"/>
        <v>0</v>
      </c>
      <c r="Y28" s="85">
        <v>0</v>
      </c>
      <c r="Z28" s="84"/>
      <c r="AA28" s="3"/>
      <c r="AB28" s="20">
        <f t="shared" si="5"/>
        <v>0</v>
      </c>
      <c r="AC28" s="84"/>
      <c r="AD28" s="84">
        <v>12585.6</v>
      </c>
      <c r="AE28" s="20">
        <f t="shared" si="6"/>
        <v>530.4</v>
      </c>
      <c r="AF28" s="84">
        <v>0</v>
      </c>
      <c r="AG28" s="237"/>
      <c r="AH28" s="3"/>
      <c r="AI28" s="3"/>
      <c r="AJ28" s="55"/>
      <c r="AK28" s="55"/>
    </row>
    <row r="29" spans="1:38" ht="78.75" x14ac:dyDescent="0.25">
      <c r="A29" s="154" t="s">
        <v>51</v>
      </c>
      <c r="B29" s="139" t="s">
        <v>49</v>
      </c>
      <c r="C29" s="139" t="s">
        <v>37</v>
      </c>
      <c r="D29" s="144" t="s">
        <v>45</v>
      </c>
      <c r="E29" s="122">
        <v>97112</v>
      </c>
      <c r="F29" s="80">
        <f t="shared" si="1"/>
        <v>3277.9600000000005</v>
      </c>
      <c r="G29" s="80">
        <f t="shared" si="2"/>
        <v>1992.29</v>
      </c>
      <c r="H29" s="3">
        <v>1530.18</v>
      </c>
      <c r="I29" s="84">
        <v>0</v>
      </c>
      <c r="J29" s="3">
        <v>0</v>
      </c>
      <c r="K29" s="20">
        <f t="shared" si="3"/>
        <v>462.11</v>
      </c>
      <c r="L29" s="3">
        <v>0</v>
      </c>
      <c r="M29" s="84">
        <v>208.03</v>
      </c>
      <c r="N29" s="84">
        <v>13.73</v>
      </c>
      <c r="O29" s="84">
        <v>39.97</v>
      </c>
      <c r="P29" s="84">
        <v>0</v>
      </c>
      <c r="Q29" s="84">
        <v>104.17</v>
      </c>
      <c r="R29" s="3">
        <v>239.42</v>
      </c>
      <c r="S29" s="84">
        <v>209.9</v>
      </c>
      <c r="T29" s="3">
        <v>38.18</v>
      </c>
      <c r="U29" s="3">
        <v>0</v>
      </c>
      <c r="V29" s="84">
        <v>29.98</v>
      </c>
      <c r="W29" s="3">
        <v>0</v>
      </c>
      <c r="X29" s="20">
        <f t="shared" si="4"/>
        <v>454.48</v>
      </c>
      <c r="Y29" s="85">
        <v>349.06</v>
      </c>
      <c r="Z29" s="84">
        <v>0</v>
      </c>
      <c r="AA29" s="3">
        <v>0</v>
      </c>
      <c r="AB29" s="20">
        <f t="shared" si="5"/>
        <v>105.42</v>
      </c>
      <c r="AC29" s="84"/>
      <c r="AD29" s="168">
        <f>30.34-16.81-12.02</f>
        <v>1.5100000000000016</v>
      </c>
      <c r="AE29" s="20">
        <f t="shared" si="6"/>
        <v>318329.3</v>
      </c>
      <c r="AF29" s="173">
        <v>457</v>
      </c>
      <c r="AG29" s="237">
        <f>ROUND(AE29+AE30+AE31+AF29,1)</f>
        <v>320032.09999999998</v>
      </c>
      <c r="AH29" s="3">
        <v>320896.08829112002</v>
      </c>
      <c r="AI29" s="5">
        <f>AG29-AH29</f>
        <v>-863.98829112004023</v>
      </c>
      <c r="AJ29" s="55"/>
      <c r="AK29" s="55"/>
    </row>
    <row r="30" spans="1:38" ht="63" x14ac:dyDescent="0.25">
      <c r="A30" s="154" t="s">
        <v>51</v>
      </c>
      <c r="B30" s="139" t="s">
        <v>50</v>
      </c>
      <c r="C30" s="139" t="s">
        <v>40</v>
      </c>
      <c r="D30" s="144" t="s">
        <v>45</v>
      </c>
      <c r="E30" s="122">
        <v>80</v>
      </c>
      <c r="F30" s="80">
        <f t="shared" si="1"/>
        <v>15572.210000000001</v>
      </c>
      <c r="G30" s="80">
        <f t="shared" si="2"/>
        <v>10522.2</v>
      </c>
      <c r="H30" s="3">
        <v>8081.57</v>
      </c>
      <c r="I30" s="84">
        <v>0</v>
      </c>
      <c r="J30" s="3">
        <v>0</v>
      </c>
      <c r="K30" s="20">
        <f t="shared" si="3"/>
        <v>2440.63</v>
      </c>
      <c r="L30" s="3">
        <v>0</v>
      </c>
      <c r="M30" s="84">
        <v>893.34</v>
      </c>
      <c r="N30" s="84">
        <v>0</v>
      </c>
      <c r="O30" s="84">
        <v>694.5</v>
      </c>
      <c r="P30" s="84">
        <v>0</v>
      </c>
      <c r="Q30" s="84">
        <v>101.18</v>
      </c>
      <c r="R30" s="3">
        <v>506.38</v>
      </c>
      <c r="S30" s="84">
        <v>547.55999999999995</v>
      </c>
      <c r="T30" s="3">
        <v>764.2</v>
      </c>
      <c r="U30" s="3">
        <v>0</v>
      </c>
      <c r="V30" s="84">
        <v>743.78</v>
      </c>
      <c r="W30" s="3">
        <v>0</v>
      </c>
      <c r="X30" s="20">
        <f t="shared" si="4"/>
        <v>1018.39</v>
      </c>
      <c r="Y30" s="85">
        <v>782.17</v>
      </c>
      <c r="Z30" s="84">
        <v>0</v>
      </c>
      <c r="AA30" s="3">
        <v>0</v>
      </c>
      <c r="AB30" s="20">
        <f t="shared" si="5"/>
        <v>236.22</v>
      </c>
      <c r="AC30" s="84"/>
      <c r="AD30" s="168">
        <f>475.19-2.78-2.78+5.55</f>
        <v>475.18000000000006</v>
      </c>
      <c r="AE30" s="20">
        <f t="shared" si="6"/>
        <v>1245.8</v>
      </c>
      <c r="AF30" s="84">
        <v>0</v>
      </c>
      <c r="AG30" s="237"/>
      <c r="AH30" s="3"/>
      <c r="AI30" s="3"/>
      <c r="AJ30" s="55"/>
      <c r="AK30" s="55"/>
    </row>
    <row r="31" spans="1:38" ht="45" x14ac:dyDescent="0.25">
      <c r="A31" s="154" t="s">
        <v>51</v>
      </c>
      <c r="B31" s="139" t="s">
        <v>41</v>
      </c>
      <c r="C31" s="140" t="s">
        <v>42</v>
      </c>
      <c r="D31" s="142" t="s">
        <v>38</v>
      </c>
      <c r="E31" s="122">
        <v>0</v>
      </c>
      <c r="F31" s="80">
        <f t="shared" si="1"/>
        <v>0</v>
      </c>
      <c r="G31" s="80">
        <f t="shared" si="2"/>
        <v>0</v>
      </c>
      <c r="H31" s="3">
        <v>0</v>
      </c>
      <c r="I31" s="84">
        <v>0</v>
      </c>
      <c r="J31" s="3">
        <v>0</v>
      </c>
      <c r="K31" s="20">
        <f t="shared" si="3"/>
        <v>0</v>
      </c>
      <c r="L31" s="3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3">
        <v>0</v>
      </c>
      <c r="S31" s="84">
        <v>0</v>
      </c>
      <c r="T31" s="3">
        <v>0</v>
      </c>
      <c r="U31" s="3">
        <v>0</v>
      </c>
      <c r="V31" s="84">
        <v>0</v>
      </c>
      <c r="W31" s="3">
        <v>0</v>
      </c>
      <c r="X31" s="20">
        <f t="shared" si="4"/>
        <v>0</v>
      </c>
      <c r="Y31" s="85">
        <v>0</v>
      </c>
      <c r="Z31" s="84">
        <v>0</v>
      </c>
      <c r="AA31" s="3">
        <v>0</v>
      </c>
      <c r="AB31" s="20">
        <f t="shared" si="5"/>
        <v>0</v>
      </c>
      <c r="AC31" s="84"/>
      <c r="AD31" s="84">
        <v>0</v>
      </c>
      <c r="AE31" s="20">
        <f t="shared" si="6"/>
        <v>0</v>
      </c>
      <c r="AF31" s="84">
        <v>0</v>
      </c>
      <c r="AG31" s="237"/>
      <c r="AH31" s="3"/>
      <c r="AI31" s="3"/>
      <c r="AJ31" s="55"/>
      <c r="AK31" s="55"/>
    </row>
    <row r="32" spans="1:38" ht="78.75" x14ac:dyDescent="0.25">
      <c r="A32" s="123" t="s">
        <v>52</v>
      </c>
      <c r="B32" s="139" t="s">
        <v>36</v>
      </c>
      <c r="C32" s="139" t="s">
        <v>37</v>
      </c>
      <c r="D32" s="139" t="s">
        <v>53</v>
      </c>
      <c r="E32" s="122">
        <v>1500</v>
      </c>
      <c r="F32" s="80">
        <f t="shared" si="1"/>
        <v>6904.3300000000008</v>
      </c>
      <c r="G32" s="80">
        <f t="shared" si="2"/>
        <v>2320.0100000000002</v>
      </c>
      <c r="H32" s="3">
        <v>1781.88</v>
      </c>
      <c r="I32" s="84">
        <v>0</v>
      </c>
      <c r="J32" s="3">
        <v>0</v>
      </c>
      <c r="K32" s="20">
        <f t="shared" si="3"/>
        <v>538.13</v>
      </c>
      <c r="L32" s="3">
        <v>0</v>
      </c>
      <c r="M32" s="84">
        <v>469.07</v>
      </c>
      <c r="N32" s="84">
        <v>0</v>
      </c>
      <c r="O32" s="84">
        <v>0</v>
      </c>
      <c r="P32" s="84">
        <v>0</v>
      </c>
      <c r="Q32" s="84">
        <v>874.46</v>
      </c>
      <c r="R32" s="3">
        <v>75.7</v>
      </c>
      <c r="S32" s="84">
        <v>1227.6300000000001</v>
      </c>
      <c r="T32" s="3">
        <v>0</v>
      </c>
      <c r="U32" s="3">
        <v>0</v>
      </c>
      <c r="V32" s="84">
        <v>11.16</v>
      </c>
      <c r="W32" s="3">
        <v>12.21</v>
      </c>
      <c r="X32" s="20">
        <f t="shared" si="4"/>
        <v>1802.23</v>
      </c>
      <c r="Y32" s="85">
        <v>1384.2</v>
      </c>
      <c r="Z32" s="84">
        <v>0</v>
      </c>
      <c r="AA32" s="3">
        <v>0</v>
      </c>
      <c r="AB32" s="20">
        <f t="shared" si="5"/>
        <v>418.03</v>
      </c>
      <c r="AC32" s="84"/>
      <c r="AD32" s="84">
        <v>111.86</v>
      </c>
      <c r="AE32" s="20">
        <f t="shared" si="6"/>
        <v>10356.5</v>
      </c>
      <c r="AF32" s="173">
        <v>456.3</v>
      </c>
      <c r="AG32" s="3">
        <f>SUM(AE32:AF33)</f>
        <v>20054.900000000001</v>
      </c>
      <c r="AH32" s="3">
        <v>20739.599999999999</v>
      </c>
      <c r="AI32" s="5">
        <f>AG32-AH32</f>
        <v>-684.69999999999709</v>
      </c>
      <c r="AJ32" s="55"/>
      <c r="AK32" s="55"/>
    </row>
    <row r="33" spans="1:38" ht="63" x14ac:dyDescent="0.25">
      <c r="A33" s="123" t="s">
        <v>52</v>
      </c>
      <c r="B33" s="139" t="s">
        <v>39</v>
      </c>
      <c r="C33" s="139" t="s">
        <v>40</v>
      </c>
      <c r="D33" s="139" t="s">
        <v>53</v>
      </c>
      <c r="E33" s="122">
        <v>70</v>
      </c>
      <c r="F33" s="80">
        <f t="shared" si="1"/>
        <v>132030.53</v>
      </c>
      <c r="G33" s="80">
        <f t="shared" si="2"/>
        <v>53880.11</v>
      </c>
      <c r="H33" s="3">
        <v>41382.57</v>
      </c>
      <c r="I33" s="84">
        <v>0</v>
      </c>
      <c r="J33" s="3">
        <v>0</v>
      </c>
      <c r="K33" s="20">
        <f t="shared" si="3"/>
        <v>12497.54</v>
      </c>
      <c r="L33" s="3">
        <v>0</v>
      </c>
      <c r="M33" s="84">
        <v>97.79</v>
      </c>
      <c r="N33" s="84">
        <v>0</v>
      </c>
      <c r="O33" s="84">
        <v>0</v>
      </c>
      <c r="P33" s="84">
        <v>0</v>
      </c>
      <c r="Q33" s="84">
        <v>1204</v>
      </c>
      <c r="R33" s="3">
        <v>1155.18</v>
      </c>
      <c r="S33" s="84">
        <v>16963.39</v>
      </c>
      <c r="T33" s="181">
        <f>50220.58-16300</f>
        <v>33920.58</v>
      </c>
      <c r="U33" s="3">
        <v>0</v>
      </c>
      <c r="V33" s="84">
        <v>1907.38</v>
      </c>
      <c r="W33" s="3">
        <v>309.08</v>
      </c>
      <c r="X33" s="20">
        <f t="shared" si="4"/>
        <v>22593.02</v>
      </c>
      <c r="Y33" s="85">
        <v>17352.55</v>
      </c>
      <c r="Z33" s="84">
        <v>0</v>
      </c>
      <c r="AA33" s="3">
        <v>0</v>
      </c>
      <c r="AB33" s="20">
        <f t="shared" si="5"/>
        <v>5240.47</v>
      </c>
      <c r="AC33" s="84"/>
      <c r="AD33" s="84">
        <v>0</v>
      </c>
      <c r="AE33" s="20">
        <f t="shared" si="6"/>
        <v>9242.1</v>
      </c>
      <c r="AF33" s="84">
        <v>0</v>
      </c>
      <c r="AG33" s="3"/>
      <c r="AH33" s="3"/>
      <c r="AI33" s="3"/>
      <c r="AJ33" s="55"/>
      <c r="AK33" s="55"/>
    </row>
    <row r="34" spans="1:38" ht="78.75" x14ac:dyDescent="0.25">
      <c r="A34" s="123" t="s">
        <v>54</v>
      </c>
      <c r="B34" s="139" t="s">
        <v>49</v>
      </c>
      <c r="C34" s="139" t="s">
        <v>37</v>
      </c>
      <c r="D34" s="139" t="s">
        <v>45</v>
      </c>
      <c r="E34" s="122">
        <v>5286</v>
      </c>
      <c r="F34" s="80">
        <f t="shared" si="1"/>
        <v>1978.3700000000001</v>
      </c>
      <c r="G34" s="80">
        <f t="shared" si="2"/>
        <v>734</v>
      </c>
      <c r="H34" s="3">
        <v>563.75</v>
      </c>
      <c r="I34" s="84">
        <v>0</v>
      </c>
      <c r="J34" s="3">
        <v>0</v>
      </c>
      <c r="K34" s="20">
        <f t="shared" si="3"/>
        <v>170.25</v>
      </c>
      <c r="L34" s="3">
        <v>0</v>
      </c>
      <c r="M34" s="84">
        <v>88.35</v>
      </c>
      <c r="N34" s="84">
        <v>0</v>
      </c>
      <c r="O34" s="84">
        <v>89.35</v>
      </c>
      <c r="P34" s="84">
        <v>0</v>
      </c>
      <c r="Q34" s="84">
        <v>81.81</v>
      </c>
      <c r="R34" s="3">
        <v>34.53</v>
      </c>
      <c r="S34" s="84">
        <v>86.22</v>
      </c>
      <c r="T34" s="3">
        <v>85</v>
      </c>
      <c r="U34" s="3">
        <v>0</v>
      </c>
      <c r="V34" s="84">
        <v>13.5</v>
      </c>
      <c r="W34" s="3">
        <v>3.53</v>
      </c>
      <c r="X34" s="20">
        <f t="shared" si="4"/>
        <v>560.13</v>
      </c>
      <c r="Y34" s="85">
        <v>430.21</v>
      </c>
      <c r="Z34" s="84">
        <v>0</v>
      </c>
      <c r="AA34" s="3">
        <v>0</v>
      </c>
      <c r="AB34" s="20">
        <f t="shared" si="5"/>
        <v>129.91999999999999</v>
      </c>
      <c r="AC34" s="84"/>
      <c r="AD34" s="168">
        <f>488.9-197.6</f>
        <v>291.29999999999995</v>
      </c>
      <c r="AE34" s="20">
        <f t="shared" si="6"/>
        <v>10457.700000000001</v>
      </c>
      <c r="AF34" s="173">
        <v>435</v>
      </c>
      <c r="AG34" s="3">
        <f>SUM(AE34:AF35)</f>
        <v>11506.400000000001</v>
      </c>
      <c r="AH34" s="3">
        <v>12212.850000000002</v>
      </c>
      <c r="AI34" s="5">
        <f>AG34-AH34</f>
        <v>-706.45000000000073</v>
      </c>
      <c r="AJ34" s="55"/>
      <c r="AK34" s="55"/>
    </row>
    <row r="35" spans="1:38" ht="63" x14ac:dyDescent="0.25">
      <c r="A35" s="123" t="s">
        <v>54</v>
      </c>
      <c r="B35" s="139" t="s">
        <v>50</v>
      </c>
      <c r="C35" s="139" t="s">
        <v>40</v>
      </c>
      <c r="D35" s="139" t="s">
        <v>45</v>
      </c>
      <c r="E35" s="122">
        <v>10</v>
      </c>
      <c r="F35" s="80">
        <f t="shared" si="1"/>
        <v>61370.610000000008</v>
      </c>
      <c r="G35" s="80">
        <f t="shared" si="2"/>
        <v>30901.210000000003</v>
      </c>
      <c r="H35" s="3">
        <v>23733.65</v>
      </c>
      <c r="I35" s="84">
        <v>0</v>
      </c>
      <c r="J35" s="3">
        <v>0</v>
      </c>
      <c r="K35" s="20">
        <f t="shared" si="3"/>
        <v>7167.56</v>
      </c>
      <c r="L35" s="3">
        <v>0</v>
      </c>
      <c r="M35" s="84">
        <v>730.23</v>
      </c>
      <c r="N35" s="84">
        <v>0</v>
      </c>
      <c r="O35" s="84">
        <v>730.23</v>
      </c>
      <c r="P35" s="84">
        <v>0</v>
      </c>
      <c r="Q35" s="84">
        <v>1483.8</v>
      </c>
      <c r="R35" s="3">
        <v>1765.7</v>
      </c>
      <c r="S35" s="84">
        <v>2723.86</v>
      </c>
      <c r="T35" s="3">
        <v>8000</v>
      </c>
      <c r="U35" s="3">
        <v>0</v>
      </c>
      <c r="V35" s="84">
        <v>1619.01</v>
      </c>
      <c r="W35" s="3">
        <v>1033.3499999999999</v>
      </c>
      <c r="X35" s="20">
        <f t="shared" si="4"/>
        <v>10676.4</v>
      </c>
      <c r="Y35" s="85">
        <v>8200</v>
      </c>
      <c r="Z35" s="84">
        <v>0</v>
      </c>
      <c r="AA35" s="3">
        <v>0</v>
      </c>
      <c r="AB35" s="20">
        <f t="shared" si="5"/>
        <v>2476.4</v>
      </c>
      <c r="AC35" s="84"/>
      <c r="AD35" s="84">
        <v>2437.0500000000002</v>
      </c>
      <c r="AE35" s="20">
        <f t="shared" si="6"/>
        <v>613.70000000000005</v>
      </c>
      <c r="AF35" s="84">
        <v>0</v>
      </c>
      <c r="AG35" s="3"/>
      <c r="AH35" s="3"/>
      <c r="AI35" s="3"/>
      <c r="AJ35" s="55"/>
      <c r="AK35" s="55"/>
    </row>
    <row r="36" spans="1:38" ht="78.75" x14ac:dyDescent="0.25">
      <c r="A36" s="123" t="s">
        <v>55</v>
      </c>
      <c r="B36" s="139" t="s">
        <v>56</v>
      </c>
      <c r="C36" s="139" t="s">
        <v>37</v>
      </c>
      <c r="D36" s="58" t="s">
        <v>53</v>
      </c>
      <c r="E36" s="122">
        <v>7974</v>
      </c>
      <c r="F36" s="80">
        <f t="shared" si="1"/>
        <v>2533.8799999999997</v>
      </c>
      <c r="G36" s="80">
        <f t="shared" si="2"/>
        <v>1338.77</v>
      </c>
      <c r="H36" s="3">
        <v>1028.24</v>
      </c>
      <c r="I36" s="84">
        <v>0</v>
      </c>
      <c r="J36" s="3">
        <v>0</v>
      </c>
      <c r="K36" s="20">
        <f t="shared" si="3"/>
        <v>310.52999999999997</v>
      </c>
      <c r="L36" s="3">
        <v>0</v>
      </c>
      <c r="M36" s="84">
        <v>255.4</v>
      </c>
      <c r="N36" s="84">
        <v>0</v>
      </c>
      <c r="O36" s="84">
        <v>43.57</v>
      </c>
      <c r="P36" s="84">
        <v>0</v>
      </c>
      <c r="Q36" s="84">
        <v>90.49</v>
      </c>
      <c r="R36" s="3">
        <v>37.020000000000003</v>
      </c>
      <c r="S36" s="84">
        <v>104.72</v>
      </c>
      <c r="T36" s="3">
        <v>16.309999999999999</v>
      </c>
      <c r="U36" s="3">
        <v>0</v>
      </c>
      <c r="V36" s="84">
        <v>17.27</v>
      </c>
      <c r="W36" s="3">
        <v>0</v>
      </c>
      <c r="X36" s="20">
        <f t="shared" si="4"/>
        <v>578.01</v>
      </c>
      <c r="Y36" s="85">
        <v>443.94</v>
      </c>
      <c r="Z36" s="84">
        <v>0</v>
      </c>
      <c r="AA36" s="3">
        <v>0</v>
      </c>
      <c r="AB36" s="20">
        <f t="shared" si="5"/>
        <v>134.07</v>
      </c>
      <c r="AC36" s="84"/>
      <c r="AD36" s="168">
        <f>122.58-26.69</f>
        <v>95.89</v>
      </c>
      <c r="AE36" s="20">
        <f t="shared" si="6"/>
        <v>20205.2</v>
      </c>
      <c r="AF36" s="173">
        <v>264.39999999999998</v>
      </c>
      <c r="AG36" s="3">
        <f>AE36+AE37+AF36</f>
        <v>21026.100000000002</v>
      </c>
      <c r="AH36" s="3">
        <v>21302.964919999999</v>
      </c>
      <c r="AI36" s="5">
        <f>AG36-AH36</f>
        <v>-276.86491999999635</v>
      </c>
      <c r="AJ36" s="55"/>
      <c r="AK36" s="55"/>
    </row>
    <row r="37" spans="1:38" ht="63" x14ac:dyDescent="0.25">
      <c r="A37" s="123" t="s">
        <v>55</v>
      </c>
      <c r="B37" s="145" t="s">
        <v>57</v>
      </c>
      <c r="C37" s="139" t="s">
        <v>40</v>
      </c>
      <c r="D37" s="58" t="s">
        <v>45</v>
      </c>
      <c r="E37" s="122">
        <v>30</v>
      </c>
      <c r="F37" s="80">
        <f t="shared" si="1"/>
        <v>18550.939999999999</v>
      </c>
      <c r="G37" s="80">
        <f t="shared" si="2"/>
        <v>12369</v>
      </c>
      <c r="H37" s="3">
        <v>9500</v>
      </c>
      <c r="I37" s="84">
        <v>0</v>
      </c>
      <c r="J37" s="3">
        <v>0</v>
      </c>
      <c r="K37" s="20">
        <f t="shared" si="3"/>
        <v>2869</v>
      </c>
      <c r="L37" s="3">
        <v>0</v>
      </c>
      <c r="M37" s="84">
        <v>326.44</v>
      </c>
      <c r="N37" s="84">
        <v>0</v>
      </c>
      <c r="O37" s="84">
        <v>126.44</v>
      </c>
      <c r="P37" s="84">
        <v>0</v>
      </c>
      <c r="Q37" s="84">
        <v>116.67</v>
      </c>
      <c r="R37" s="3">
        <v>339.29</v>
      </c>
      <c r="S37" s="84">
        <v>895.83</v>
      </c>
      <c r="T37" s="3">
        <v>33.33</v>
      </c>
      <c r="U37" s="3">
        <v>0</v>
      </c>
      <c r="V37" s="84">
        <v>60</v>
      </c>
      <c r="W37" s="3">
        <v>0</v>
      </c>
      <c r="X37" s="20">
        <f t="shared" si="4"/>
        <v>3893.71</v>
      </c>
      <c r="Y37" s="85">
        <v>2990.56</v>
      </c>
      <c r="Z37" s="84">
        <v>0</v>
      </c>
      <c r="AA37" s="3">
        <v>0</v>
      </c>
      <c r="AB37" s="20">
        <f t="shared" si="5"/>
        <v>903.15</v>
      </c>
      <c r="AC37" s="84"/>
      <c r="AD37" s="84">
        <v>516.66999999999996</v>
      </c>
      <c r="AE37" s="20">
        <f t="shared" si="6"/>
        <v>556.5</v>
      </c>
      <c r="AF37" s="84">
        <v>0</v>
      </c>
      <c r="AG37" s="3"/>
      <c r="AH37" s="3"/>
      <c r="AI37" s="3"/>
      <c r="AJ37" s="55"/>
      <c r="AK37" s="55"/>
    </row>
    <row r="38" spans="1:38" ht="63" x14ac:dyDescent="0.25">
      <c r="A38" s="152" t="s">
        <v>58</v>
      </c>
      <c r="B38" s="146" t="s">
        <v>39</v>
      </c>
      <c r="C38" s="146" t="s">
        <v>40</v>
      </c>
      <c r="D38" s="59" t="s">
        <v>45</v>
      </c>
      <c r="E38" s="122">
        <v>60</v>
      </c>
      <c r="F38" s="80">
        <f t="shared" si="1"/>
        <v>100539.09</v>
      </c>
      <c r="G38" s="80">
        <f t="shared" si="2"/>
        <v>48851.040000000001</v>
      </c>
      <c r="H38" s="3">
        <v>37520</v>
      </c>
      <c r="I38" s="84">
        <v>0</v>
      </c>
      <c r="J38" s="3">
        <v>0</v>
      </c>
      <c r="K38" s="20">
        <f t="shared" si="3"/>
        <v>11331.04</v>
      </c>
      <c r="L38" s="3">
        <v>0</v>
      </c>
      <c r="M38" s="84">
        <v>5400</v>
      </c>
      <c r="N38" s="84">
        <v>3333.33</v>
      </c>
      <c r="O38" s="84">
        <v>1250</v>
      </c>
      <c r="P38" s="84">
        <v>0</v>
      </c>
      <c r="Q38" s="84">
        <v>1233.33</v>
      </c>
      <c r="R38" s="3">
        <v>9902.85</v>
      </c>
      <c r="S38" s="84">
        <v>2950</v>
      </c>
      <c r="T38" s="3">
        <v>1700</v>
      </c>
      <c r="U38" s="3">
        <v>0</v>
      </c>
      <c r="V38" s="84">
        <v>3620</v>
      </c>
      <c r="W38" s="3">
        <v>0</v>
      </c>
      <c r="X38" s="20">
        <f t="shared" si="4"/>
        <v>22915.200000000001</v>
      </c>
      <c r="Y38" s="85">
        <v>17600</v>
      </c>
      <c r="Z38" s="84">
        <v>0</v>
      </c>
      <c r="AA38" s="3">
        <v>0</v>
      </c>
      <c r="AB38" s="20">
        <f t="shared" si="5"/>
        <v>5315.2</v>
      </c>
      <c r="AC38" s="84"/>
      <c r="AD38" s="168">
        <f>4050-83.33</f>
        <v>3966.67</v>
      </c>
      <c r="AE38" s="20">
        <f t="shared" si="6"/>
        <v>6032.3</v>
      </c>
      <c r="AF38" s="173">
        <v>166.9</v>
      </c>
      <c r="AG38" s="3">
        <f>AF38+AE38</f>
        <v>6199.2</v>
      </c>
      <c r="AH38" s="3">
        <v>6201.7</v>
      </c>
      <c r="AI38" s="5">
        <f>AG38-AH38</f>
        <v>-2.5</v>
      </c>
      <c r="AJ38" s="55"/>
      <c r="AK38" s="55"/>
    </row>
    <row r="39" spans="1:38" ht="63" x14ac:dyDescent="0.25">
      <c r="A39" s="169" t="s">
        <v>59</v>
      </c>
      <c r="B39" s="139" t="s">
        <v>39</v>
      </c>
      <c r="C39" s="139" t="s">
        <v>40</v>
      </c>
      <c r="D39" s="139" t="s">
        <v>45</v>
      </c>
      <c r="E39" s="122">
        <v>55</v>
      </c>
      <c r="F39" s="80">
        <f t="shared" si="1"/>
        <v>108251.54</v>
      </c>
      <c r="G39" s="80">
        <f t="shared" si="2"/>
        <v>27642.46</v>
      </c>
      <c r="H39" s="3">
        <v>21230.77</v>
      </c>
      <c r="I39" s="84">
        <v>0</v>
      </c>
      <c r="J39" s="3">
        <v>0</v>
      </c>
      <c r="K39" s="20">
        <f t="shared" si="3"/>
        <v>6411.69</v>
      </c>
      <c r="L39" s="3"/>
      <c r="M39" s="84">
        <v>512.52</v>
      </c>
      <c r="N39" s="84">
        <v>0</v>
      </c>
      <c r="O39" s="84">
        <v>407.69</v>
      </c>
      <c r="P39" s="84">
        <v>0</v>
      </c>
      <c r="Q39" s="84">
        <v>0</v>
      </c>
      <c r="R39" s="3">
        <v>11019.39</v>
      </c>
      <c r="S39" s="168">
        <f>64623.9-3430.77</f>
        <v>61193.130000000005</v>
      </c>
      <c r="T39" s="3">
        <v>0</v>
      </c>
      <c r="U39" s="3">
        <v>0</v>
      </c>
      <c r="V39" s="84">
        <v>1153.7</v>
      </c>
      <c r="W39" s="3">
        <v>0</v>
      </c>
      <c r="X39" s="20">
        <f t="shared" si="4"/>
        <v>6730.3399999999992</v>
      </c>
      <c r="Y39" s="85">
        <v>5169.2299999999996</v>
      </c>
      <c r="Z39" s="84">
        <v>0</v>
      </c>
      <c r="AA39" s="3">
        <v>0</v>
      </c>
      <c r="AB39" s="20">
        <f t="shared" si="5"/>
        <v>1561.11</v>
      </c>
      <c r="AC39" s="84">
        <v>0</v>
      </c>
      <c r="AD39" s="84">
        <v>0</v>
      </c>
      <c r="AE39" s="20">
        <f>ROUND(E39*F39/1000,1)</f>
        <v>5953.8</v>
      </c>
      <c r="AF39" s="173">
        <v>167.1</v>
      </c>
      <c r="AG39" s="155">
        <f>AE39+AF39</f>
        <v>6120.9000000000005</v>
      </c>
      <c r="AH39" s="3">
        <v>6142.51</v>
      </c>
      <c r="AI39" s="5">
        <f>AG39-AH39</f>
        <v>-21.609999999999673</v>
      </c>
      <c r="AJ39" s="55"/>
      <c r="AK39" s="55"/>
      <c r="AL39" s="120">
        <v>6142.5124172237256</v>
      </c>
    </row>
    <row r="40" spans="1:38" ht="63" x14ac:dyDescent="0.25">
      <c r="A40" s="261" t="s">
        <v>60</v>
      </c>
      <c r="B40" s="141" t="s">
        <v>61</v>
      </c>
      <c r="C40" s="141" t="s">
        <v>62</v>
      </c>
      <c r="D40" s="141" t="s">
        <v>45</v>
      </c>
      <c r="E40" s="122">
        <v>496</v>
      </c>
      <c r="F40" s="80">
        <f t="shared" si="1"/>
        <v>17583.500000000004</v>
      </c>
      <c r="G40" s="80">
        <f t="shared" si="2"/>
        <v>7528.5</v>
      </c>
      <c r="H40" s="3">
        <v>5782.26</v>
      </c>
      <c r="I40" s="84">
        <v>0</v>
      </c>
      <c r="J40" s="3">
        <v>0</v>
      </c>
      <c r="K40" s="20">
        <f t="shared" si="3"/>
        <v>1746.24</v>
      </c>
      <c r="L40" s="3">
        <v>0</v>
      </c>
      <c r="M40" s="84">
        <v>887.5</v>
      </c>
      <c r="N40" s="84">
        <v>0</v>
      </c>
      <c r="O40" s="84">
        <v>0</v>
      </c>
      <c r="P40" s="84">
        <v>0</v>
      </c>
      <c r="Q40" s="84">
        <v>298.39</v>
      </c>
      <c r="R40" s="3">
        <v>1086.69</v>
      </c>
      <c r="S40" s="84">
        <v>1138.1600000000001</v>
      </c>
      <c r="T40" s="3">
        <v>115.93</v>
      </c>
      <c r="U40" s="3">
        <v>0</v>
      </c>
      <c r="V40" s="84">
        <v>28.65</v>
      </c>
      <c r="W40" s="3">
        <v>1.27</v>
      </c>
      <c r="X40" s="20">
        <f t="shared" si="4"/>
        <v>5677.85</v>
      </c>
      <c r="Y40" s="85">
        <v>4360.87</v>
      </c>
      <c r="Z40" s="84">
        <v>0</v>
      </c>
      <c r="AA40" s="3">
        <v>0</v>
      </c>
      <c r="AB40" s="20">
        <f t="shared" si="5"/>
        <v>1316.98</v>
      </c>
      <c r="AC40" s="84"/>
      <c r="AD40" s="168">
        <f>859.88-39.32</f>
        <v>820.56</v>
      </c>
      <c r="AE40" s="20">
        <f t="shared" si="6"/>
        <v>8721.4</v>
      </c>
      <c r="AF40" s="173">
        <v>19.600000000000001</v>
      </c>
      <c r="AG40" s="3">
        <f>AE40+AE41+AE42+AE43+AF40</f>
        <v>32025.699999999997</v>
      </c>
      <c r="AH40" s="3">
        <v>32025.589999999997</v>
      </c>
      <c r="AI40" s="5">
        <f>AG40-AH40</f>
        <v>0.11000000000058208</v>
      </c>
      <c r="AJ40" s="55"/>
      <c r="AK40" s="55"/>
      <c r="AL40" s="108"/>
    </row>
    <row r="41" spans="1:38" ht="120" x14ac:dyDescent="0.25">
      <c r="A41" s="262"/>
      <c r="B41" s="147" t="s">
        <v>82</v>
      </c>
      <c r="C41" s="148" t="s">
        <v>64</v>
      </c>
      <c r="D41" s="149" t="s">
        <v>65</v>
      </c>
      <c r="E41" s="122">
        <v>6880</v>
      </c>
      <c r="F41" s="80">
        <f t="shared" si="1"/>
        <v>2356.75</v>
      </c>
      <c r="G41" s="80">
        <f t="shared" si="2"/>
        <v>1226.82</v>
      </c>
      <c r="H41" s="3">
        <v>942.26</v>
      </c>
      <c r="I41" s="84">
        <v>0</v>
      </c>
      <c r="J41" s="3">
        <v>0</v>
      </c>
      <c r="K41" s="20">
        <f t="shared" si="3"/>
        <v>284.56</v>
      </c>
      <c r="L41" s="3">
        <v>0</v>
      </c>
      <c r="M41" s="84">
        <v>49.51</v>
      </c>
      <c r="N41" s="84">
        <v>0</v>
      </c>
      <c r="O41" s="84">
        <v>14.68</v>
      </c>
      <c r="P41" s="84">
        <v>0</v>
      </c>
      <c r="Q41" s="84">
        <v>0</v>
      </c>
      <c r="R41" s="3">
        <v>11.59</v>
      </c>
      <c r="S41" s="84">
        <v>27.41</v>
      </c>
      <c r="T41" s="3">
        <v>62.44</v>
      </c>
      <c r="U41" s="3">
        <v>0</v>
      </c>
      <c r="V41" s="84">
        <v>41.11</v>
      </c>
      <c r="W41" s="3">
        <v>27.83</v>
      </c>
      <c r="X41" s="20">
        <f t="shared" si="4"/>
        <v>540.81999999999994</v>
      </c>
      <c r="Y41" s="85">
        <v>415.38</v>
      </c>
      <c r="Z41" s="84">
        <v>0</v>
      </c>
      <c r="AA41" s="3">
        <v>0</v>
      </c>
      <c r="AB41" s="20">
        <f t="shared" si="5"/>
        <v>125.44</v>
      </c>
      <c r="AC41" s="84"/>
      <c r="AD41" s="84">
        <v>369.22</v>
      </c>
      <c r="AE41" s="20">
        <f t="shared" si="6"/>
        <v>16214.4</v>
      </c>
      <c r="AF41" s="84">
        <v>0</v>
      </c>
      <c r="AG41" s="3"/>
      <c r="AH41" s="3"/>
      <c r="AI41" s="3"/>
      <c r="AJ41" s="55"/>
      <c r="AK41" s="55"/>
    </row>
    <row r="42" spans="1:38" ht="180" x14ac:dyDescent="0.25">
      <c r="A42" s="262"/>
      <c r="B42" s="150" t="s">
        <v>83</v>
      </c>
      <c r="C42" s="148" t="s">
        <v>64</v>
      </c>
      <c r="D42" s="149" t="s">
        <v>65</v>
      </c>
      <c r="E42" s="122">
        <v>1000</v>
      </c>
      <c r="F42" s="80">
        <f t="shared" si="1"/>
        <v>2356.75</v>
      </c>
      <c r="G42" s="80">
        <f t="shared" si="2"/>
        <v>1226.82</v>
      </c>
      <c r="H42" s="3">
        <v>942.26</v>
      </c>
      <c r="I42" s="84">
        <v>0</v>
      </c>
      <c r="J42" s="3">
        <v>0</v>
      </c>
      <c r="K42" s="20">
        <f t="shared" si="3"/>
        <v>284.56</v>
      </c>
      <c r="L42" s="3">
        <v>0</v>
      </c>
      <c r="M42" s="84">
        <v>49.51</v>
      </c>
      <c r="N42" s="84">
        <v>0</v>
      </c>
      <c r="O42" s="84">
        <v>14.68</v>
      </c>
      <c r="P42" s="84">
        <v>0</v>
      </c>
      <c r="Q42" s="84">
        <v>0</v>
      </c>
      <c r="R42" s="3">
        <v>11.59</v>
      </c>
      <c r="S42" s="84">
        <v>27.41</v>
      </c>
      <c r="T42" s="3">
        <v>62.44</v>
      </c>
      <c r="U42" s="3">
        <v>0</v>
      </c>
      <c r="V42" s="84">
        <v>41.11</v>
      </c>
      <c r="W42" s="3">
        <v>27.83</v>
      </c>
      <c r="X42" s="20">
        <f t="shared" si="4"/>
        <v>540.81999999999994</v>
      </c>
      <c r="Y42" s="85">
        <v>415.38</v>
      </c>
      <c r="Z42" s="84">
        <v>0</v>
      </c>
      <c r="AA42" s="3">
        <v>0</v>
      </c>
      <c r="AB42" s="20">
        <f t="shared" si="5"/>
        <v>125.44</v>
      </c>
      <c r="AC42" s="84"/>
      <c r="AD42" s="84">
        <v>369.22</v>
      </c>
      <c r="AE42" s="20">
        <f t="shared" si="6"/>
        <v>2356.8000000000002</v>
      </c>
      <c r="AF42" s="84">
        <v>0</v>
      </c>
      <c r="AG42" s="3"/>
      <c r="AH42" s="3"/>
      <c r="AI42" s="3"/>
      <c r="AJ42" s="55"/>
      <c r="AK42" s="55"/>
    </row>
    <row r="43" spans="1:38" ht="90" x14ac:dyDescent="0.25">
      <c r="A43" s="262"/>
      <c r="B43" s="150" t="s">
        <v>84</v>
      </c>
      <c r="C43" s="148" t="s">
        <v>64</v>
      </c>
      <c r="D43" s="149" t="s">
        <v>65</v>
      </c>
      <c r="E43" s="122">
        <v>2000</v>
      </c>
      <c r="F43" s="80">
        <f t="shared" si="1"/>
        <v>2356.75</v>
      </c>
      <c r="G43" s="80">
        <f t="shared" si="2"/>
        <v>1226.82</v>
      </c>
      <c r="H43" s="3">
        <v>942.26</v>
      </c>
      <c r="I43" s="84">
        <v>0</v>
      </c>
      <c r="J43" s="3">
        <v>0</v>
      </c>
      <c r="K43" s="20">
        <f t="shared" si="3"/>
        <v>284.56</v>
      </c>
      <c r="L43" s="3">
        <v>0</v>
      </c>
      <c r="M43" s="84">
        <v>49.51</v>
      </c>
      <c r="N43" s="84">
        <v>0</v>
      </c>
      <c r="O43" s="84">
        <v>14.68</v>
      </c>
      <c r="P43" s="84">
        <v>0</v>
      </c>
      <c r="Q43" s="84">
        <v>0</v>
      </c>
      <c r="R43" s="3">
        <v>11.59</v>
      </c>
      <c r="S43" s="84">
        <v>27.41</v>
      </c>
      <c r="T43" s="3">
        <v>62.44</v>
      </c>
      <c r="U43" s="3">
        <v>0</v>
      </c>
      <c r="V43" s="84">
        <v>41.11</v>
      </c>
      <c r="W43" s="3">
        <v>27.83</v>
      </c>
      <c r="X43" s="20">
        <f t="shared" si="4"/>
        <v>540.81999999999994</v>
      </c>
      <c r="Y43" s="85">
        <v>415.38</v>
      </c>
      <c r="Z43" s="84">
        <v>0</v>
      </c>
      <c r="AA43" s="3">
        <v>0</v>
      </c>
      <c r="AB43" s="20">
        <f t="shared" si="5"/>
        <v>125.44</v>
      </c>
      <c r="AC43" s="84"/>
      <c r="AD43" s="84">
        <v>369.22</v>
      </c>
      <c r="AE43" s="20">
        <f t="shared" si="6"/>
        <v>4713.5</v>
      </c>
      <c r="AF43" s="84">
        <v>0</v>
      </c>
      <c r="AG43" s="3"/>
      <c r="AH43" s="3"/>
      <c r="AI43" s="3"/>
      <c r="AJ43" s="55"/>
      <c r="AK43" s="55"/>
    </row>
    <row r="44" spans="1:38" ht="18.75" x14ac:dyDescent="0.25">
      <c r="AE44" s="217">
        <f>SUM(AE11:AE43)</f>
        <v>2309030.1999999997</v>
      </c>
      <c r="AF44" s="217">
        <f t="shared" ref="AF44:AG44" si="8">SUM(AF11:AF43)</f>
        <v>4525.3</v>
      </c>
      <c r="AG44" s="217">
        <f t="shared" si="8"/>
        <v>2313555.5</v>
      </c>
      <c r="AH44" s="108">
        <f>SUM(AH11:AH43)</f>
        <v>2315838.9857770219</v>
      </c>
      <c r="AI44" s="108">
        <f>AH44-AG44</f>
        <v>2283.4857770218514</v>
      </c>
    </row>
  </sheetData>
  <mergeCells count="44">
    <mergeCell ref="A40:A43"/>
    <mergeCell ref="AB7:AB9"/>
    <mergeCell ref="AC7:AC9"/>
    <mergeCell ref="M8:M9"/>
    <mergeCell ref="N8:O8"/>
    <mergeCell ref="G6:G9"/>
    <mergeCell ref="I7:I9"/>
    <mergeCell ref="A3:A9"/>
    <mergeCell ref="B3:B9"/>
    <mergeCell ref="T5:T9"/>
    <mergeCell ref="U5:U9"/>
    <mergeCell ref="S5:S9"/>
    <mergeCell ref="AG23:AG25"/>
    <mergeCell ref="AG26:AG2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H6:L6"/>
    <mergeCell ref="X6:X9"/>
    <mergeCell ref="Y6:AC6"/>
    <mergeCell ref="H7:H9"/>
    <mergeCell ref="AG29:AG31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C3:D3"/>
    <mergeCell ref="F3:AD3"/>
    <mergeCell ref="AE3:AE9"/>
    <mergeCell ref="AF3:AF9"/>
    <mergeCell ref="R5:R9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I44"/>
  <sheetViews>
    <sheetView zoomScale="85" zoomScaleNormal="85" workbookViewId="0">
      <pane xSplit="1" ySplit="4" topLeftCell="N5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38.140625" customWidth="1"/>
    <col min="2" max="2" width="13.42578125" customWidth="1"/>
    <col min="3" max="4" width="13.5703125" customWidth="1"/>
    <col min="5" max="5" width="16.7109375" customWidth="1"/>
    <col min="6" max="8" width="17.42578125" customWidth="1"/>
    <col min="9" max="12" width="13.28515625" customWidth="1"/>
    <col min="13" max="15" width="13.42578125" customWidth="1"/>
    <col min="16" max="18" width="12.85546875" customWidth="1"/>
    <col min="19" max="19" width="13.42578125" bestFit="1" customWidth="1"/>
    <col min="20" max="20" width="15.7109375" bestFit="1" customWidth="1"/>
    <col min="21" max="23" width="15.7109375" customWidth="1"/>
    <col min="24" max="24" width="18.42578125" customWidth="1"/>
    <col min="25" max="25" width="17.7109375" customWidth="1"/>
    <col min="26" max="26" width="20.42578125" customWidth="1"/>
    <col min="27" max="32" width="15.42578125" customWidth="1"/>
  </cols>
  <sheetData>
    <row r="1" spans="1:26" ht="24.75" customHeight="1" x14ac:dyDescent="0.25">
      <c r="A1" s="298" t="s">
        <v>122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</row>
    <row r="2" spans="1:26" ht="15.75" customHeight="1" x14ac:dyDescent="0.25">
      <c r="A2" s="294" t="s">
        <v>77</v>
      </c>
      <c r="B2" s="272" t="s">
        <v>78</v>
      </c>
      <c r="C2" s="273"/>
      <c r="D2" s="273"/>
      <c r="E2" s="273"/>
      <c r="F2" s="273"/>
      <c r="G2" s="273"/>
      <c r="H2" s="274"/>
      <c r="I2" s="275" t="s">
        <v>79</v>
      </c>
      <c r="J2" s="276"/>
      <c r="K2" s="276"/>
      <c r="L2" s="276"/>
      <c r="M2" s="276"/>
      <c r="N2" s="276"/>
      <c r="O2" s="277"/>
      <c r="P2" s="282" t="s">
        <v>108</v>
      </c>
      <c r="Q2" s="283"/>
      <c r="R2" s="283"/>
      <c r="S2" s="283"/>
      <c r="T2" s="283"/>
      <c r="U2" s="283"/>
      <c r="V2" s="284"/>
      <c r="W2" s="266" t="s">
        <v>123</v>
      </c>
      <c r="X2" s="269" t="s">
        <v>124</v>
      </c>
      <c r="Y2" s="269" t="s">
        <v>125</v>
      </c>
      <c r="Z2" s="269" t="s">
        <v>126</v>
      </c>
    </row>
    <row r="3" spans="1:26" ht="15" customHeight="1" x14ac:dyDescent="0.25">
      <c r="A3" s="294"/>
      <c r="B3" s="280" t="s">
        <v>116</v>
      </c>
      <c r="C3" s="280" t="s">
        <v>117</v>
      </c>
      <c r="D3" s="280" t="s">
        <v>118</v>
      </c>
      <c r="E3" s="281" t="s">
        <v>81</v>
      </c>
      <c r="F3" s="279" t="s">
        <v>119</v>
      </c>
      <c r="G3" s="279" t="s">
        <v>120</v>
      </c>
      <c r="H3" s="279" t="s">
        <v>121</v>
      </c>
      <c r="I3" s="286" t="s">
        <v>80</v>
      </c>
      <c r="J3" s="286" t="s">
        <v>117</v>
      </c>
      <c r="K3" s="286" t="s">
        <v>118</v>
      </c>
      <c r="L3" s="281" t="s">
        <v>81</v>
      </c>
      <c r="M3" s="279" t="s">
        <v>119</v>
      </c>
      <c r="N3" s="279" t="s">
        <v>120</v>
      </c>
      <c r="O3" s="279" t="s">
        <v>121</v>
      </c>
      <c r="P3" s="278" t="s">
        <v>80</v>
      </c>
      <c r="Q3" s="278" t="s">
        <v>117</v>
      </c>
      <c r="R3" s="278" t="s">
        <v>118</v>
      </c>
      <c r="S3" s="281" t="s">
        <v>81</v>
      </c>
      <c r="T3" s="279" t="s">
        <v>119</v>
      </c>
      <c r="U3" s="279" t="s">
        <v>120</v>
      </c>
      <c r="V3" s="279" t="s">
        <v>121</v>
      </c>
      <c r="W3" s="267"/>
      <c r="X3" s="270"/>
      <c r="Y3" s="270"/>
      <c r="Z3" s="270"/>
    </row>
    <row r="4" spans="1:26" ht="61.5" customHeight="1" x14ac:dyDescent="0.25">
      <c r="A4" s="294"/>
      <c r="B4" s="280"/>
      <c r="C4" s="280"/>
      <c r="D4" s="280"/>
      <c r="E4" s="281"/>
      <c r="F4" s="279"/>
      <c r="G4" s="279"/>
      <c r="H4" s="279"/>
      <c r="I4" s="286"/>
      <c r="J4" s="286"/>
      <c r="K4" s="286"/>
      <c r="L4" s="281"/>
      <c r="M4" s="279"/>
      <c r="N4" s="279"/>
      <c r="O4" s="279"/>
      <c r="P4" s="278"/>
      <c r="Q4" s="278"/>
      <c r="R4" s="278"/>
      <c r="S4" s="281"/>
      <c r="T4" s="279"/>
      <c r="U4" s="279"/>
      <c r="V4" s="279"/>
      <c r="W4" s="268"/>
      <c r="X4" s="271"/>
      <c r="Y4" s="271"/>
      <c r="Z4" s="271"/>
    </row>
    <row r="5" spans="1:26" ht="15.75" x14ac:dyDescent="0.25">
      <c r="A5" s="61" t="s">
        <v>51</v>
      </c>
      <c r="B5" s="62">
        <f>'2025 НЗ ББА 22.05.2023'!E29</f>
        <v>31014</v>
      </c>
      <c r="C5" s="62">
        <f>'2025 НЗ ДБА 22.05.2023'!E29</f>
        <v>97112</v>
      </c>
      <c r="D5" s="62">
        <f>C5-B5</f>
        <v>66098</v>
      </c>
      <c r="E5" s="61">
        <f>'2025 НЗ ББА 22.05.2023'!F29</f>
        <v>3277.49</v>
      </c>
      <c r="F5" s="196">
        <f>'2025 НЗ ББА 22.05.2023'!AE29</f>
        <v>101648.1</v>
      </c>
      <c r="G5" s="196">
        <f>'2025 НЗ ДБА 22.05.2023'!AE29</f>
        <v>318283.59999999998</v>
      </c>
      <c r="H5" s="196">
        <f>G5-F5</f>
        <v>216635.49999999997</v>
      </c>
      <c r="I5" s="64">
        <f>'2025 НЗ ББА 22.05.2023'!E30</f>
        <v>36</v>
      </c>
      <c r="J5" s="64">
        <f>'2025 НЗ ДБА 22.05.2023'!E30</f>
        <v>80</v>
      </c>
      <c r="K5" s="64">
        <f>J5-I5</f>
        <v>44</v>
      </c>
      <c r="L5" s="61">
        <f>'2025 НЗ ББА 22.05.2023'!F30</f>
        <v>15457.78</v>
      </c>
      <c r="M5" s="196">
        <f>'2025 НЗ ББА 22.05.2023'!AE30</f>
        <v>556.5</v>
      </c>
      <c r="N5" s="196">
        <f>'2025 НЗ ДБА 22.05.2023'!AE30</f>
        <v>1236.5999999999999</v>
      </c>
      <c r="O5" s="196">
        <f>N5-M5</f>
        <v>680.09999999999991</v>
      </c>
      <c r="P5" s="197">
        <f>'2025 НЗ ББА 22.05.2023'!E31</f>
        <v>0</v>
      </c>
      <c r="Q5" s="197">
        <f>'2025 НЗ ДБА 22.05.2023'!E31</f>
        <v>0</v>
      </c>
      <c r="R5" s="197">
        <f>Q5-P5</f>
        <v>0</v>
      </c>
      <c r="S5" s="61">
        <f>'2025 НЗ ББА 22.05.2023'!F31</f>
        <v>0</v>
      </c>
      <c r="T5" s="196">
        <f>'2025 НЗ ББА 22.05.2023'!AE31</f>
        <v>0</v>
      </c>
      <c r="U5" s="196">
        <f>'2025 НЗ ДБА 22.05.2023'!AE31</f>
        <v>0</v>
      </c>
      <c r="V5" s="196">
        <f>U5-T5</f>
        <v>0</v>
      </c>
      <c r="W5" s="213">
        <f>'2025 НЗ ББА 22.05.2023'!AF29</f>
        <v>457</v>
      </c>
      <c r="X5" s="214">
        <f>F5+M5+T5+W5</f>
        <v>102661.6</v>
      </c>
      <c r="Y5" s="214">
        <f>G5+N5+U5+W5</f>
        <v>319977.19999999995</v>
      </c>
      <c r="Z5" s="214">
        <f>Y5-X5</f>
        <v>217315.59999999995</v>
      </c>
    </row>
    <row r="6" spans="1:26" ht="15.75" x14ac:dyDescent="0.25">
      <c r="A6" s="61" t="s">
        <v>46</v>
      </c>
      <c r="B6" s="65">
        <f>'2025 НЗ ББА 22.05.2023'!E20</f>
        <v>10326</v>
      </c>
      <c r="C6" s="65">
        <f>'2025 НЗ ДБА 22.05.2023'!E20</f>
        <v>37548</v>
      </c>
      <c r="D6" s="62">
        <f t="shared" ref="D6:D14" si="0">C6-B6</f>
        <v>27222</v>
      </c>
      <c r="E6" s="215">
        <f>'2025 НЗ ББА 22.05.2023'!F20</f>
        <v>8385.7299999999977</v>
      </c>
      <c r="F6" s="196">
        <f>'2025 НЗ ББА 22.05.2023'!AE20</f>
        <v>86591</v>
      </c>
      <c r="G6" s="196">
        <f>'2025 НЗ ДБА 22.05.2023'!AE20</f>
        <v>314867.40000000002</v>
      </c>
      <c r="H6" s="196">
        <f t="shared" ref="H6:H14" si="1">G6-F6</f>
        <v>228276.40000000002</v>
      </c>
      <c r="I6" s="64">
        <f>'2025 НЗ ББА 22.05.2023'!E21</f>
        <v>36</v>
      </c>
      <c r="J6" s="64">
        <f>'2025 НЗ ДБА 22.05.2023'!E21</f>
        <v>132</v>
      </c>
      <c r="K6" s="64">
        <f t="shared" ref="K6:K16" si="2">J6-I6</f>
        <v>96</v>
      </c>
      <c r="L6" s="61">
        <f>'2025 НЗ ББА 22.05.2023'!F21</f>
        <v>23281.05</v>
      </c>
      <c r="M6" s="196">
        <f>'2025 НЗ ББА 22.05.2023'!AE21</f>
        <v>838.1</v>
      </c>
      <c r="N6" s="196">
        <f>'2025 НЗ ДБА 22.05.2023'!AE21</f>
        <v>3073.1</v>
      </c>
      <c r="O6" s="196">
        <f t="shared" ref="O6:O16" si="3">N6-M6</f>
        <v>2235</v>
      </c>
      <c r="P6" s="197">
        <f>'2025 НЗ ББА 22.05.2023'!E22</f>
        <v>0</v>
      </c>
      <c r="Q6" s="197">
        <f>'2025 НЗ ДБА 22.05.2023'!E22</f>
        <v>0</v>
      </c>
      <c r="R6" s="197">
        <f t="shared" ref="R6:R11" si="4">Q6-P6</f>
        <v>0</v>
      </c>
      <c r="S6" s="61">
        <f>'2025 НЗ ББА 22.05.2023'!F22</f>
        <v>0</v>
      </c>
      <c r="T6" s="196">
        <f>'2025 НЗ ББА 22.05.2023'!AE22</f>
        <v>0</v>
      </c>
      <c r="U6" s="196">
        <f>'2025 НЗ ДБА 22.05.2023'!AE22</f>
        <v>0</v>
      </c>
      <c r="V6" s="196">
        <f t="shared" ref="V6:V11" si="5">U6-T6</f>
        <v>0</v>
      </c>
      <c r="W6" s="213">
        <f>'2025 НЗ ББА 22.05.2023'!AF20</f>
        <v>93.5</v>
      </c>
      <c r="X6" s="214">
        <f t="shared" ref="X6:X11" si="6">F6+M6+T6+W6</f>
        <v>87522.6</v>
      </c>
      <c r="Y6" s="214">
        <f t="shared" ref="Y6:Y17" si="7">G6+N6+U6+W6</f>
        <v>318034</v>
      </c>
      <c r="Z6" s="214">
        <f t="shared" ref="Z6:Z17" si="8">Y6-X6</f>
        <v>230511.4</v>
      </c>
    </row>
    <row r="7" spans="1:26" ht="15.75" x14ac:dyDescent="0.25">
      <c r="A7" s="61" t="s">
        <v>48</v>
      </c>
      <c r="B7" s="65">
        <f>'2025 НЗ ББА 22.05.2023'!E26</f>
        <v>24172</v>
      </c>
      <c r="C7" s="65">
        <f>'2025 НЗ ДБА 22.05.2023'!E26</f>
        <v>60780</v>
      </c>
      <c r="D7" s="62">
        <f t="shared" si="0"/>
        <v>36608</v>
      </c>
      <c r="E7" s="215">
        <f>'2025 НЗ ББА 22.05.2023'!F26</f>
        <v>4234.28</v>
      </c>
      <c r="F7" s="196">
        <f>'2025 НЗ ББА 22.05.2023'!AE26</f>
        <v>102351</v>
      </c>
      <c r="G7" s="196">
        <f>'2025 НЗ ДБА 22.05.2023'!AE26</f>
        <v>257359.5</v>
      </c>
      <c r="H7" s="196">
        <f t="shared" si="1"/>
        <v>155008.5</v>
      </c>
      <c r="I7" s="64">
        <f>'2025 НЗ ББА 22.05.2023'!E27</f>
        <v>24</v>
      </c>
      <c r="J7" s="64">
        <f>'2025 НЗ ДБА 22.05.2023'!E27</f>
        <v>121</v>
      </c>
      <c r="K7" s="64">
        <f t="shared" si="2"/>
        <v>97</v>
      </c>
      <c r="L7" s="61">
        <f>'2025 НЗ ББА 22.05.2023'!F27</f>
        <v>15565.049999999997</v>
      </c>
      <c r="M7" s="196">
        <f>'2025 НЗ ББА 22.05.2023'!AE27</f>
        <v>373.6</v>
      </c>
      <c r="N7" s="196">
        <f>'2025 НЗ ДБА 22.05.2023'!AE27</f>
        <v>1883.4</v>
      </c>
      <c r="O7" s="196">
        <f t="shared" si="3"/>
        <v>1509.8000000000002</v>
      </c>
      <c r="P7" s="197">
        <f>'2025 НЗ ББА 22.05.2023'!E28</f>
        <v>3</v>
      </c>
      <c r="Q7" s="197">
        <f>'2025 НЗ ДБА 22.05.2023'!E28</f>
        <v>6</v>
      </c>
      <c r="R7" s="197">
        <f t="shared" si="4"/>
        <v>3</v>
      </c>
      <c r="S7" s="61">
        <f>'2025 НЗ ББА 22.05.2023'!F28</f>
        <v>88361.859999999986</v>
      </c>
      <c r="T7" s="196">
        <f>'2025 НЗ ББА 22.05.2023'!AE28</f>
        <v>265.10000000000002</v>
      </c>
      <c r="U7" s="196">
        <f>'2025 НЗ ДБА 22.05.2023'!AE28</f>
        <v>530.20000000000005</v>
      </c>
      <c r="V7" s="196">
        <f t="shared" si="5"/>
        <v>265.10000000000002</v>
      </c>
      <c r="W7" s="213">
        <f>'2025 НЗ ББА 22.05.2023'!AF26</f>
        <v>656.9</v>
      </c>
      <c r="X7" s="214">
        <f t="shared" si="6"/>
        <v>103646.6</v>
      </c>
      <c r="Y7" s="214">
        <f t="shared" si="7"/>
        <v>260430</v>
      </c>
      <c r="Z7" s="214">
        <f t="shared" si="8"/>
        <v>156783.4</v>
      </c>
    </row>
    <row r="8" spans="1:26" ht="15.75" x14ac:dyDescent="0.25">
      <c r="A8" s="61" t="s">
        <v>44</v>
      </c>
      <c r="B8" s="65">
        <f>'2025 НЗ ББА 22.05.2023'!E17</f>
        <v>30628</v>
      </c>
      <c r="C8" s="65">
        <f>'2025 НЗ ДБА 22.05.2023'!E17</f>
        <v>111102</v>
      </c>
      <c r="D8" s="62">
        <f t="shared" si="0"/>
        <v>80474</v>
      </c>
      <c r="E8" s="215">
        <f>'2025 НЗ ББА 22.05.2023'!F17</f>
        <v>3014.8500000000004</v>
      </c>
      <c r="F8" s="196">
        <f>'2025 НЗ ББА 22.05.2023'!AE17</f>
        <v>92338.8</v>
      </c>
      <c r="G8" s="196">
        <f>'2025 НЗ ДБА 22.05.2023'!AE17</f>
        <v>334955.90000000002</v>
      </c>
      <c r="H8" s="196">
        <f t="shared" si="1"/>
        <v>242617.10000000003</v>
      </c>
      <c r="I8" s="64">
        <f>'2025 НЗ ББА 22.05.2023'!E18</f>
        <v>150</v>
      </c>
      <c r="J8" s="64">
        <f>'2025 НЗ ДБА 22.05.2023'!E18</f>
        <v>354</v>
      </c>
      <c r="K8" s="64">
        <f t="shared" si="2"/>
        <v>204</v>
      </c>
      <c r="L8" s="61">
        <f>'2025 НЗ ББА 22.05.2023'!F18</f>
        <v>19105.870000000003</v>
      </c>
      <c r="M8" s="196">
        <f>'2025 НЗ ББА 22.05.2023'!AE18</f>
        <v>2865.9</v>
      </c>
      <c r="N8" s="196">
        <f>'2025 НЗ ДБА 22.05.2023'!AE18</f>
        <v>6763.5</v>
      </c>
      <c r="O8" s="196">
        <f t="shared" si="3"/>
        <v>3897.6</v>
      </c>
      <c r="P8" s="197">
        <f>'2025 НЗ ББА 22.05.2023'!E19</f>
        <v>0</v>
      </c>
      <c r="Q8" s="197">
        <f>'2025 НЗ ДБА 22.05.2023'!E19</f>
        <v>0</v>
      </c>
      <c r="R8" s="197">
        <f t="shared" si="4"/>
        <v>0</v>
      </c>
      <c r="S8" s="61">
        <f>'2025 НЗ ББА 22.05.2023'!F19</f>
        <v>0</v>
      </c>
      <c r="T8" s="196">
        <f>'2025 НЗ ББА 22.05.2023'!AE19</f>
        <v>0</v>
      </c>
      <c r="U8" s="196">
        <f>'2025 НЗ ДБА 22.05.2023'!AE19</f>
        <v>0</v>
      </c>
      <c r="V8" s="196">
        <f t="shared" si="5"/>
        <v>0</v>
      </c>
      <c r="W8" s="213">
        <f>'2025 НЗ ББА 22.05.2023'!AF17</f>
        <v>398.4</v>
      </c>
      <c r="X8" s="214">
        <f t="shared" si="6"/>
        <v>95603.099999999991</v>
      </c>
      <c r="Y8" s="214">
        <f t="shared" si="7"/>
        <v>342117.80000000005</v>
      </c>
      <c r="Z8" s="214">
        <f t="shared" si="8"/>
        <v>246514.70000000007</v>
      </c>
    </row>
    <row r="9" spans="1:26" ht="15.75" x14ac:dyDescent="0.25">
      <c r="A9" s="61" t="s">
        <v>43</v>
      </c>
      <c r="B9" s="65">
        <f>'2025 НЗ ББА 22.05.2023'!E14</f>
        <v>20327</v>
      </c>
      <c r="C9" s="65">
        <f>'2025 НЗ ДБА 22.05.2023'!E14</f>
        <v>47754</v>
      </c>
      <c r="D9" s="62">
        <f t="shared" si="0"/>
        <v>27427</v>
      </c>
      <c r="E9" s="215">
        <f>'2025 НЗ ББА 22.05.2023'!F14</f>
        <v>4200.0199999999995</v>
      </c>
      <c r="F9" s="196">
        <f>'2025 НЗ ББА 22.05.2023'!AE14</f>
        <v>85373.8</v>
      </c>
      <c r="G9" s="196">
        <f>'2025 НЗ ДБА 22.05.2023'!AE14</f>
        <v>200567.8</v>
      </c>
      <c r="H9" s="196">
        <f t="shared" si="1"/>
        <v>115193.99999999999</v>
      </c>
      <c r="I9" s="64">
        <f>'2025 НЗ ББА 22.05.2023'!E15</f>
        <v>60</v>
      </c>
      <c r="J9" s="64">
        <f>'2025 НЗ ДБА 22.05.2023'!E15</f>
        <v>60</v>
      </c>
      <c r="K9" s="64">
        <f t="shared" si="2"/>
        <v>0</v>
      </c>
      <c r="L9" s="61">
        <f>'2025 НЗ ББА 22.05.2023'!F15</f>
        <v>31626.510000000002</v>
      </c>
      <c r="M9" s="196">
        <f>'2025 НЗ ББА 22.05.2023'!AE15</f>
        <v>1897.6</v>
      </c>
      <c r="N9" s="196">
        <f>'2025 НЗ ДБА 22.05.2023'!AE15</f>
        <v>1897.6</v>
      </c>
      <c r="O9" s="196">
        <f t="shared" si="3"/>
        <v>0</v>
      </c>
      <c r="P9" s="197">
        <f>'2025 НЗ ББА 22.05.2023'!E16</f>
        <v>1</v>
      </c>
      <c r="Q9" s="197">
        <f>'2025 НЗ ДБА 22.05.2023'!E16</f>
        <v>1</v>
      </c>
      <c r="R9" s="197">
        <f t="shared" si="4"/>
        <v>0</v>
      </c>
      <c r="S9" s="61">
        <f>'2025 НЗ ББА 22.05.2023'!F16</f>
        <v>323871.59999999998</v>
      </c>
      <c r="T9" s="196">
        <f>'2025 НЗ ББА 22.05.2023'!AE16</f>
        <v>323.89999999999998</v>
      </c>
      <c r="U9" s="196">
        <f>'2025 НЗ ДБА 22.05.2023'!AE16</f>
        <v>323.89999999999998</v>
      </c>
      <c r="V9" s="196">
        <f t="shared" si="5"/>
        <v>0</v>
      </c>
      <c r="W9" s="213">
        <f>'2025 НЗ ББА 22.05.2023'!AF14</f>
        <v>297.3</v>
      </c>
      <c r="X9" s="214">
        <f t="shared" si="6"/>
        <v>87892.6</v>
      </c>
      <c r="Y9" s="214">
        <f t="shared" si="7"/>
        <v>203086.59999999998</v>
      </c>
      <c r="Z9" s="214">
        <f t="shared" si="8"/>
        <v>115193.99999999997</v>
      </c>
    </row>
    <row r="10" spans="1:26" ht="15.75" x14ac:dyDescent="0.25">
      <c r="A10" s="61" t="s">
        <v>35</v>
      </c>
      <c r="B10" s="65">
        <f>'2025 НЗ ББА 22.05.2023'!E11</f>
        <v>24470</v>
      </c>
      <c r="C10" s="65">
        <f>'2025 НЗ ДБА 22.05.2023'!E11</f>
        <v>106614</v>
      </c>
      <c r="D10" s="62">
        <f t="shared" si="0"/>
        <v>82144</v>
      </c>
      <c r="E10" s="215">
        <f>'2025 НЗ ББА 22.05.2023'!F11</f>
        <v>4016.8399999999997</v>
      </c>
      <c r="F10" s="196">
        <f>'2025 НЗ ББА 22.05.2023'!AE11</f>
        <v>98292.1</v>
      </c>
      <c r="G10" s="196">
        <f>'2025 НЗ ДБА 22.05.2023'!AE11</f>
        <v>428251.4</v>
      </c>
      <c r="H10" s="196">
        <f t="shared" si="1"/>
        <v>329959.30000000005</v>
      </c>
      <c r="I10" s="64">
        <f>'2025 НЗ ББА 22.05.2023'!E12</f>
        <v>57</v>
      </c>
      <c r="J10" s="64">
        <f>'2025 НЗ ДБА 22.05.2023'!E12</f>
        <v>215</v>
      </c>
      <c r="K10" s="64">
        <f t="shared" si="2"/>
        <v>158</v>
      </c>
      <c r="L10" s="61">
        <f>'2025 НЗ ББА 22.05.2023'!F12</f>
        <v>31193.420000000002</v>
      </c>
      <c r="M10" s="196">
        <f>'2025 НЗ ББА 22.05.2023'!AE12</f>
        <v>1778</v>
      </c>
      <c r="N10" s="196">
        <f>'2025 НЗ ДБА 22.05.2023'!AE12</f>
        <v>6706.6</v>
      </c>
      <c r="O10" s="196">
        <f t="shared" si="3"/>
        <v>4928.6000000000004</v>
      </c>
      <c r="P10" s="197">
        <f>'2025 НЗ ББА 22.05.2023'!E13</f>
        <v>5</v>
      </c>
      <c r="Q10" s="197">
        <f>'2025 НЗ ДБА 22.05.2023'!E13</f>
        <v>10</v>
      </c>
      <c r="R10" s="197">
        <f t="shared" si="4"/>
        <v>5</v>
      </c>
      <c r="S10" s="61">
        <f>'2025 НЗ ББА 22.05.2023'!F13</f>
        <v>117108.04</v>
      </c>
      <c r="T10" s="196">
        <f>'2025 НЗ ББА 22.05.2023'!AE13</f>
        <v>585.5</v>
      </c>
      <c r="U10" s="196">
        <f>'2025 НЗ ДБА 22.05.2023'!AE13</f>
        <v>1171.0999999999999</v>
      </c>
      <c r="V10" s="196">
        <f t="shared" si="5"/>
        <v>585.59999999999991</v>
      </c>
      <c r="W10" s="213">
        <f>'2025 НЗ ББА 22.05.2023'!AF11</f>
        <v>788.6</v>
      </c>
      <c r="X10" s="214">
        <f t="shared" si="6"/>
        <v>101444.20000000001</v>
      </c>
      <c r="Y10" s="214">
        <f t="shared" si="7"/>
        <v>436917.69999999995</v>
      </c>
      <c r="Z10" s="214">
        <f t="shared" si="8"/>
        <v>335473.49999999994</v>
      </c>
    </row>
    <row r="11" spans="1:26" ht="15.75" x14ac:dyDescent="0.25">
      <c r="A11" s="61" t="s">
        <v>47</v>
      </c>
      <c r="B11" s="65">
        <f>'2025 НЗ ББА 22.05.2023'!E23</f>
        <v>18230</v>
      </c>
      <c r="C11" s="65">
        <f>'2025 НЗ ДБА 22.05.2023'!E23</f>
        <v>43300</v>
      </c>
      <c r="D11" s="62">
        <f t="shared" si="0"/>
        <v>25070</v>
      </c>
      <c r="E11" s="215">
        <f>'2025 НЗ ББА 22.05.2023'!F23</f>
        <v>5750</v>
      </c>
      <c r="F11" s="196">
        <f>'2025 НЗ ББА 22.05.2023'!AE23</f>
        <v>104822.5</v>
      </c>
      <c r="G11" s="196">
        <f>'2025 НЗ ДБА 22.05.2023'!AE23</f>
        <v>248975</v>
      </c>
      <c r="H11" s="196">
        <f t="shared" si="1"/>
        <v>144152.5</v>
      </c>
      <c r="I11" s="64">
        <f>'2025 НЗ ББА 22.05.2023'!E24</f>
        <v>220</v>
      </c>
      <c r="J11" s="64">
        <f>'2025 НЗ ДБА 22.05.2023'!E24</f>
        <v>220</v>
      </c>
      <c r="K11" s="64">
        <f t="shared" si="2"/>
        <v>0</v>
      </c>
      <c r="L11" s="61">
        <f>'2025 НЗ ББА 22.05.2023'!F24</f>
        <v>15684.46</v>
      </c>
      <c r="M11" s="196">
        <f>'2025 НЗ ББА 22.05.2023'!AE24</f>
        <v>3450.6</v>
      </c>
      <c r="N11" s="196">
        <f>'2025 НЗ ДБА 22.05.2023'!AE24</f>
        <v>3450.6</v>
      </c>
      <c r="O11" s="196">
        <f t="shared" si="3"/>
        <v>0</v>
      </c>
      <c r="P11" s="197">
        <f>'2025 НЗ ББА 22.05.2023'!E25</f>
        <v>30</v>
      </c>
      <c r="Q11" s="197">
        <f>'2025 НЗ ДБА 22.05.2023'!E25</f>
        <v>30</v>
      </c>
      <c r="R11" s="197">
        <f t="shared" si="4"/>
        <v>0</v>
      </c>
      <c r="S11" s="61">
        <f>'2025 НЗ ББА 22.05.2023'!F25</f>
        <v>105055.37000000001</v>
      </c>
      <c r="T11" s="196">
        <f>'2025 НЗ ББА 22.05.2023'!AE25</f>
        <v>3151.7</v>
      </c>
      <c r="U11" s="196">
        <f>'2025 НЗ ДБА 22.05.2023'!AE25</f>
        <v>3151.7</v>
      </c>
      <c r="V11" s="196">
        <f t="shared" si="5"/>
        <v>0</v>
      </c>
      <c r="W11" s="213">
        <f>'2025 НЗ ББА 22.05.2023'!AF23</f>
        <v>324.3</v>
      </c>
      <c r="X11" s="214">
        <f t="shared" si="6"/>
        <v>111749.1</v>
      </c>
      <c r="Y11" s="214">
        <f t="shared" si="7"/>
        <v>255901.6</v>
      </c>
      <c r="Z11" s="214">
        <f t="shared" si="8"/>
        <v>144152.5</v>
      </c>
    </row>
    <row r="12" spans="1:26" ht="15.75" x14ac:dyDescent="0.25">
      <c r="A12" s="61" t="s">
        <v>109</v>
      </c>
      <c r="B12" s="65">
        <f>'2025 НЗ ББА 22.05.2023'!E34</f>
        <v>2139</v>
      </c>
      <c r="C12" s="65">
        <f>'2025 НЗ ДБА 22.05.2023'!E34</f>
        <v>5286</v>
      </c>
      <c r="D12" s="62">
        <f t="shared" si="0"/>
        <v>3147</v>
      </c>
      <c r="E12" s="215">
        <f>'2025 НЗ ББА 22.05.2023'!F34</f>
        <v>1971.87</v>
      </c>
      <c r="F12" s="63">
        <f>'2025 НЗ ББА 22.05.2023'!AE34</f>
        <v>4217.8</v>
      </c>
      <c r="G12" s="63">
        <f>'2025 НЗ ДБА 22.05.2023'!AE34</f>
        <v>10423.299999999999</v>
      </c>
      <c r="H12" s="196">
        <f t="shared" si="1"/>
        <v>6205.4999999999991</v>
      </c>
      <c r="I12" s="64">
        <f>'2025 НЗ ББА 22.05.2023'!E35</f>
        <v>5</v>
      </c>
      <c r="J12" s="64">
        <f>'2025 НЗ ДБА 22.05.2023'!E35</f>
        <v>10</v>
      </c>
      <c r="K12" s="64">
        <f t="shared" si="2"/>
        <v>5</v>
      </c>
      <c r="L12" s="61">
        <f>'2025 НЗ ББА 22.05.2023'!F35</f>
        <v>61370.610000000008</v>
      </c>
      <c r="M12" s="63">
        <f>'2025 НЗ ББА 22.05.2023'!AE35</f>
        <v>306.89999999999998</v>
      </c>
      <c r="N12" s="63">
        <f>'2025 НЗ ДБА 22.05.2023'!AE35</f>
        <v>613.70000000000005</v>
      </c>
      <c r="O12" s="196">
        <f t="shared" si="3"/>
        <v>306.80000000000007</v>
      </c>
      <c r="P12" s="197" t="s">
        <v>76</v>
      </c>
      <c r="Q12" s="197" t="s">
        <v>76</v>
      </c>
      <c r="R12" s="197" t="s">
        <v>76</v>
      </c>
      <c r="S12" s="198" t="s">
        <v>76</v>
      </c>
      <c r="T12" s="196" t="s">
        <v>76</v>
      </c>
      <c r="U12" s="196" t="s">
        <v>76</v>
      </c>
      <c r="V12" s="196" t="s">
        <v>76</v>
      </c>
      <c r="W12" s="213">
        <v>435</v>
      </c>
      <c r="X12" s="214">
        <f>F12+M12+W12</f>
        <v>4959.7</v>
      </c>
      <c r="Y12" s="214">
        <f>G12+N12+W12</f>
        <v>11472</v>
      </c>
      <c r="Z12" s="214">
        <f t="shared" si="8"/>
        <v>6512.3</v>
      </c>
    </row>
    <row r="13" spans="1:26" ht="15.75" x14ac:dyDescent="0.25">
      <c r="A13" s="61" t="s">
        <v>55</v>
      </c>
      <c r="B13" s="65">
        <f>'2025 НЗ ББА 22.05.2023'!E36</f>
        <v>3844</v>
      </c>
      <c r="C13" s="65">
        <f>'2025 НЗ ДБА 22.05.2023'!E36</f>
        <v>7974</v>
      </c>
      <c r="D13" s="62">
        <f t="shared" si="0"/>
        <v>4130</v>
      </c>
      <c r="E13" s="215">
        <f>'2025 НЗ ББА 22.05.2023'!F36</f>
        <v>2531.4499999999998</v>
      </c>
      <c r="F13" s="196">
        <f>'2025 НЗ ББА 22.05.2023'!AE36</f>
        <v>9730.9</v>
      </c>
      <c r="G13" s="196">
        <f>'2025 НЗ ДБА 22.05.2023'!AE36</f>
        <v>20185.8</v>
      </c>
      <c r="H13" s="196">
        <f t="shared" si="1"/>
        <v>10454.9</v>
      </c>
      <c r="I13" s="64">
        <f>'2025 НЗ ББА 22.05.2023'!E37</f>
        <v>12</v>
      </c>
      <c r="J13" s="64">
        <f>'2025 НЗ ДБА 22.05.2023'!E37</f>
        <v>30</v>
      </c>
      <c r="K13" s="64">
        <f t="shared" si="2"/>
        <v>18</v>
      </c>
      <c r="L13" s="61">
        <f>'2025 НЗ ББА 22.05.2023'!F37</f>
        <v>18544.669999999998</v>
      </c>
      <c r="M13" s="196">
        <f>'2025 НЗ ББА 22.05.2023'!AE37</f>
        <v>222.5</v>
      </c>
      <c r="N13" s="196">
        <f>'2025 НЗ ДБА 22.05.2023'!AE37</f>
        <v>556.29999999999995</v>
      </c>
      <c r="O13" s="196">
        <f t="shared" si="3"/>
        <v>333.79999999999995</v>
      </c>
      <c r="P13" s="197" t="s">
        <v>76</v>
      </c>
      <c r="Q13" s="197" t="s">
        <v>76</v>
      </c>
      <c r="R13" s="197" t="s">
        <v>76</v>
      </c>
      <c r="S13" s="198" t="s">
        <v>76</v>
      </c>
      <c r="T13" s="196" t="s">
        <v>76</v>
      </c>
      <c r="U13" s="196" t="s">
        <v>76</v>
      </c>
      <c r="V13" s="196" t="s">
        <v>76</v>
      </c>
      <c r="W13" s="213">
        <f>'2025 НЗ ББА 22.05.2023'!AF36</f>
        <v>264.39999999999998</v>
      </c>
      <c r="X13" s="214">
        <f>F13+M13+W13</f>
        <v>10217.799999999999</v>
      </c>
      <c r="Y13" s="214">
        <f t="shared" ref="Y13:Y14" si="9">G13+N13+W13</f>
        <v>21006.5</v>
      </c>
      <c r="Z13" s="214">
        <f t="shared" ref="Z13:Z15" si="10">Y13-X13</f>
        <v>10788.7</v>
      </c>
    </row>
    <row r="14" spans="1:26" s="201" customFormat="1" ht="31.5" x14ac:dyDescent="0.25">
      <c r="A14" s="208" t="s">
        <v>52</v>
      </c>
      <c r="B14" s="65">
        <f>'2025 НЗ ББА 22.05.2023'!E32</f>
        <v>680</v>
      </c>
      <c r="C14" s="65">
        <f>'2025 НЗ ДБА 22.05.2023'!E32</f>
        <v>1500</v>
      </c>
      <c r="D14" s="65">
        <f t="shared" si="0"/>
        <v>820</v>
      </c>
      <c r="E14" s="215">
        <f>'2025 НЗ ББА 22.05.2023'!F32</f>
        <v>7034.7</v>
      </c>
      <c r="F14" s="209">
        <f>'2025 НЗ ББА 22.05.2023'!AE32</f>
        <v>4783.6000000000004</v>
      </c>
      <c r="G14" s="209">
        <f>'2025 НЗ ДБА 22.05.2023'!AE32</f>
        <v>10552.1</v>
      </c>
      <c r="H14" s="209">
        <f t="shared" si="1"/>
        <v>5768.5</v>
      </c>
      <c r="I14" s="210">
        <f>'2025 НЗ ББА 22.05.2023'!E33</f>
        <v>27</v>
      </c>
      <c r="J14" s="210">
        <f>'2025 НЗ ДБА 22.05.2023'!E33</f>
        <v>63</v>
      </c>
      <c r="K14" s="210">
        <f t="shared" si="2"/>
        <v>36</v>
      </c>
      <c r="L14" s="61">
        <f>'2025 НЗ ББА 22.05.2023'!F33</f>
        <v>132556.73000000001</v>
      </c>
      <c r="M14" s="209">
        <f>'2025 НЗ ББА 22.05.2023'!AE33</f>
        <v>3579</v>
      </c>
      <c r="N14" s="209">
        <f>'2025 НЗ ДБА 22.05.2023'!AE33</f>
        <v>8351.1</v>
      </c>
      <c r="O14" s="196">
        <f t="shared" si="3"/>
        <v>4772.1000000000004</v>
      </c>
      <c r="P14" s="197" t="s">
        <v>76</v>
      </c>
      <c r="Q14" s="197" t="s">
        <v>76</v>
      </c>
      <c r="R14" s="197" t="s">
        <v>76</v>
      </c>
      <c r="S14" s="198" t="s">
        <v>76</v>
      </c>
      <c r="T14" s="196" t="s">
        <v>76</v>
      </c>
      <c r="U14" s="196" t="s">
        <v>76</v>
      </c>
      <c r="V14" s="196" t="s">
        <v>76</v>
      </c>
      <c r="W14" s="213">
        <f>'2025 НЗ ББА 22.05.2023'!AF32</f>
        <v>456.3</v>
      </c>
      <c r="X14" s="214">
        <f t="shared" ref="X14" si="11">F14+M14+W14</f>
        <v>8818.9</v>
      </c>
      <c r="Y14" s="214">
        <f t="shared" si="9"/>
        <v>19359.5</v>
      </c>
      <c r="Z14" s="214">
        <f t="shared" si="10"/>
        <v>10540.6</v>
      </c>
    </row>
    <row r="15" spans="1:26" ht="15.75" x14ac:dyDescent="0.25">
      <c r="A15" s="61" t="s">
        <v>58</v>
      </c>
      <c r="B15" s="62" t="s">
        <v>76</v>
      </c>
      <c r="C15" s="62" t="s">
        <v>76</v>
      </c>
      <c r="D15" s="62" t="s">
        <v>76</v>
      </c>
      <c r="E15" s="198" t="s">
        <v>76</v>
      </c>
      <c r="F15" s="199" t="s">
        <v>76</v>
      </c>
      <c r="G15" s="199" t="s">
        <v>76</v>
      </c>
      <c r="H15" s="199" t="s">
        <v>76</v>
      </c>
      <c r="I15" s="64">
        <f>'2025 НЗ ББА 22.05.2023'!E38</f>
        <v>30</v>
      </c>
      <c r="J15" s="64">
        <f>'2025 НЗ ДБА 22.05.2023'!E38</f>
        <v>60</v>
      </c>
      <c r="K15" s="64">
        <f t="shared" si="2"/>
        <v>30</v>
      </c>
      <c r="L15" s="61">
        <f>'2025 НЗ ББА 22.05.2023'!F38</f>
        <v>97457.72</v>
      </c>
      <c r="M15" s="196">
        <f>'2025 НЗ ББА 22.05.2023'!AE38</f>
        <v>2923.7</v>
      </c>
      <c r="N15" s="196">
        <f>'2025 НЗ ДБА 22.05.2023'!AE38</f>
        <v>5847.5</v>
      </c>
      <c r="O15" s="196">
        <f t="shared" si="3"/>
        <v>2923.8</v>
      </c>
      <c r="P15" s="197" t="s">
        <v>76</v>
      </c>
      <c r="Q15" s="197" t="s">
        <v>76</v>
      </c>
      <c r="R15" s="197" t="s">
        <v>76</v>
      </c>
      <c r="S15" s="198" t="s">
        <v>76</v>
      </c>
      <c r="T15" s="196" t="s">
        <v>76</v>
      </c>
      <c r="U15" s="196" t="s">
        <v>76</v>
      </c>
      <c r="V15" s="196" t="s">
        <v>76</v>
      </c>
      <c r="W15" s="213">
        <f>'2025 НЗ ББА 22.05.2023'!AF38</f>
        <v>166.9</v>
      </c>
      <c r="X15" s="214">
        <f>M15+W15</f>
        <v>3090.6</v>
      </c>
      <c r="Y15" s="214">
        <f>N15+W15</f>
        <v>6014.4</v>
      </c>
      <c r="Z15" s="214">
        <f t="shared" si="10"/>
        <v>2923.7999999999997</v>
      </c>
    </row>
    <row r="16" spans="1:26" ht="15.75" x14ac:dyDescent="0.25">
      <c r="A16" s="61" t="s">
        <v>110</v>
      </c>
      <c r="B16" s="62" t="s">
        <v>76</v>
      </c>
      <c r="C16" s="62" t="s">
        <v>76</v>
      </c>
      <c r="D16" s="62" t="s">
        <v>76</v>
      </c>
      <c r="E16" s="198" t="s">
        <v>76</v>
      </c>
      <c r="F16" s="199" t="s">
        <v>76</v>
      </c>
      <c r="G16" s="199" t="s">
        <v>76</v>
      </c>
      <c r="H16" s="199" t="s">
        <v>76</v>
      </c>
      <c r="I16" s="64">
        <f>'2025 НЗ ББА 22.05.2023'!E39</f>
        <v>13</v>
      </c>
      <c r="J16" s="64">
        <f>'2025 НЗ ДБА 22.05.2023'!E39</f>
        <v>52</v>
      </c>
      <c r="K16" s="64">
        <f t="shared" si="2"/>
        <v>39</v>
      </c>
      <c r="L16" s="61">
        <f>'2025 НЗ ББА 22.05.2023'!F39</f>
        <v>104728.45999999999</v>
      </c>
      <c r="M16" s="196">
        <f>'2025 НЗ ББА 22.05.2023'!AE39</f>
        <v>1361.5</v>
      </c>
      <c r="N16" s="196">
        <f>'2025 НЗ ДБА 22.05.2023'!AE39</f>
        <v>5445.9</v>
      </c>
      <c r="O16" s="196">
        <f t="shared" si="3"/>
        <v>4084.3999999999996</v>
      </c>
      <c r="P16" s="197" t="s">
        <v>76</v>
      </c>
      <c r="Q16" s="197" t="s">
        <v>76</v>
      </c>
      <c r="R16" s="197" t="s">
        <v>76</v>
      </c>
      <c r="S16" s="198" t="s">
        <v>76</v>
      </c>
      <c r="T16" s="196" t="s">
        <v>76</v>
      </c>
      <c r="U16" s="196" t="s">
        <v>76</v>
      </c>
      <c r="V16" s="196" t="s">
        <v>76</v>
      </c>
      <c r="W16" s="213">
        <f>'2025 НЗ ББА 22.05.2023'!AF39</f>
        <v>167.1</v>
      </c>
      <c r="X16" s="214">
        <f>M16+W16</f>
        <v>1528.6</v>
      </c>
      <c r="Y16" s="214">
        <f>N16+W16</f>
        <v>5613</v>
      </c>
      <c r="Z16" s="214">
        <f t="shared" ref="Z16" si="12">Y16-X16</f>
        <v>4084.4</v>
      </c>
    </row>
    <row r="17" spans="1:28" ht="15.75" x14ac:dyDescent="0.25">
      <c r="A17" s="66" t="s">
        <v>75</v>
      </c>
      <c r="B17" s="67">
        <f>SUM(B5:B16)</f>
        <v>165830</v>
      </c>
      <c r="C17" s="67">
        <f t="shared" ref="C17:D17" si="13">SUM(C5:C16)</f>
        <v>518970</v>
      </c>
      <c r="D17" s="67">
        <f t="shared" si="13"/>
        <v>353140</v>
      </c>
      <c r="E17" s="198" t="s">
        <v>76</v>
      </c>
      <c r="F17" s="202">
        <f>SUM(F5:F16)</f>
        <v>690149.6</v>
      </c>
      <c r="G17" s="202">
        <f t="shared" ref="G17:H17" si="14">SUM(G5:G16)</f>
        <v>2144421.7999999998</v>
      </c>
      <c r="H17" s="202">
        <f t="shared" si="14"/>
        <v>1454272.2</v>
      </c>
      <c r="I17" s="68">
        <f>SUM(I5:I16)</f>
        <v>670</v>
      </c>
      <c r="J17" s="68">
        <f>SUM(J5:J16)</f>
        <v>1397</v>
      </c>
      <c r="K17" s="68">
        <f>SUM(K5:K16)</f>
        <v>727</v>
      </c>
      <c r="L17" s="198" t="s">
        <v>76</v>
      </c>
      <c r="M17" s="202">
        <f>SUM(M5:M16)</f>
        <v>20153.900000000001</v>
      </c>
      <c r="N17" s="202">
        <f t="shared" ref="N17:O17" si="15">SUM(N5:N16)</f>
        <v>45825.9</v>
      </c>
      <c r="O17" s="202">
        <f t="shared" si="15"/>
        <v>25672</v>
      </c>
      <c r="P17" s="203">
        <f>SUM(P5:P11)</f>
        <v>39</v>
      </c>
      <c r="Q17" s="203">
        <f t="shared" ref="Q17:R17" si="16">SUM(Q5:Q11)</f>
        <v>47</v>
      </c>
      <c r="R17" s="203">
        <f t="shared" si="16"/>
        <v>8</v>
      </c>
      <c r="S17" s="198" t="s">
        <v>76</v>
      </c>
      <c r="T17" s="202">
        <f>SUM(T5:T16)</f>
        <v>4326.2</v>
      </c>
      <c r="U17" s="202">
        <f t="shared" ref="U17:V17" si="17">SUM(U5:U16)</f>
        <v>5176.8999999999996</v>
      </c>
      <c r="V17" s="202">
        <f t="shared" si="17"/>
        <v>850.69999999999993</v>
      </c>
      <c r="W17" s="216">
        <f>SUM(W5:W16)</f>
        <v>4505.7000000000007</v>
      </c>
      <c r="X17" s="214">
        <f>F17+M17+T17+W17</f>
        <v>719135.39999999991</v>
      </c>
      <c r="Y17" s="214">
        <f t="shared" si="7"/>
        <v>2199930.2999999998</v>
      </c>
      <c r="Z17" s="214">
        <f t="shared" si="8"/>
        <v>1480794.9</v>
      </c>
    </row>
    <row r="19" spans="1:28" ht="47.25" customHeight="1" x14ac:dyDescent="0.25">
      <c r="A19" s="294" t="s">
        <v>77</v>
      </c>
      <c r="B19" s="295" t="s">
        <v>61</v>
      </c>
      <c r="C19" s="296"/>
      <c r="D19" s="296"/>
      <c r="E19" s="296"/>
      <c r="F19" s="296"/>
      <c r="G19" s="296"/>
      <c r="H19" s="297"/>
      <c r="I19" s="299" t="s">
        <v>63</v>
      </c>
      <c r="J19" s="300"/>
      <c r="K19" s="300"/>
      <c r="L19" s="300"/>
      <c r="M19" s="300"/>
      <c r="N19" s="300"/>
      <c r="O19" s="301"/>
      <c r="P19" s="266" t="s">
        <v>123</v>
      </c>
      <c r="Q19" s="269" t="s">
        <v>127</v>
      </c>
      <c r="R19" s="269" t="s">
        <v>128</v>
      </c>
      <c r="S19" s="269" t="s">
        <v>126</v>
      </c>
    </row>
    <row r="20" spans="1:28" ht="15.75" customHeight="1" x14ac:dyDescent="0.25">
      <c r="A20" s="294"/>
      <c r="B20" s="287" t="s">
        <v>116</v>
      </c>
      <c r="C20" s="287" t="s">
        <v>117</v>
      </c>
      <c r="D20" s="287" t="s">
        <v>118</v>
      </c>
      <c r="E20" s="281" t="s">
        <v>81</v>
      </c>
      <c r="F20" s="279" t="s">
        <v>119</v>
      </c>
      <c r="G20" s="279" t="s">
        <v>120</v>
      </c>
      <c r="H20" s="279" t="s">
        <v>121</v>
      </c>
      <c r="I20" s="292" t="s">
        <v>116</v>
      </c>
      <c r="J20" s="292" t="s">
        <v>117</v>
      </c>
      <c r="K20" s="292" t="s">
        <v>118</v>
      </c>
      <c r="L20" s="281" t="s">
        <v>81</v>
      </c>
      <c r="M20" s="279" t="s">
        <v>119</v>
      </c>
      <c r="N20" s="279" t="s">
        <v>120</v>
      </c>
      <c r="O20" s="279" t="s">
        <v>121</v>
      </c>
      <c r="P20" s="267"/>
      <c r="Q20" s="270"/>
      <c r="R20" s="270"/>
      <c r="S20" s="270"/>
    </row>
    <row r="21" spans="1:28" ht="45" customHeight="1" x14ac:dyDescent="0.25">
      <c r="A21" s="294"/>
      <c r="B21" s="288"/>
      <c r="C21" s="288"/>
      <c r="D21" s="288"/>
      <c r="E21" s="281"/>
      <c r="F21" s="279"/>
      <c r="G21" s="279"/>
      <c r="H21" s="279"/>
      <c r="I21" s="293"/>
      <c r="J21" s="293"/>
      <c r="K21" s="293"/>
      <c r="L21" s="281"/>
      <c r="M21" s="279"/>
      <c r="N21" s="279"/>
      <c r="O21" s="279"/>
      <c r="P21" s="268"/>
      <c r="Q21" s="271"/>
      <c r="R21" s="271"/>
      <c r="S21" s="271"/>
    </row>
    <row r="22" spans="1:28" s="201" customFormat="1" ht="15.75" x14ac:dyDescent="0.25">
      <c r="A22" s="190" t="s">
        <v>60</v>
      </c>
      <c r="B22" s="65">
        <f>'2025 НЗ ББА 22.05.2023'!E40</f>
        <v>496</v>
      </c>
      <c r="C22" s="65">
        <f>'2025 НЗ ДБА 22.05.2023'!E40</f>
        <v>496</v>
      </c>
      <c r="D22" s="65">
        <f t="shared" ref="D22" si="18">C22-B22</f>
        <v>0</v>
      </c>
      <c r="E22" s="215">
        <f>'2025 НЗ ББА 22.05.2023'!F40</f>
        <v>17070.98</v>
      </c>
      <c r="F22" s="196">
        <f>'2025 НЗ ББА 22.05.2023'!AE40</f>
        <v>8467.2000000000007</v>
      </c>
      <c r="G22" s="196">
        <f>'2025 НЗ ДБА 22.05.2023'!AE40</f>
        <v>8467.2000000000007</v>
      </c>
      <c r="H22" s="196">
        <f t="shared" ref="H22" si="19">G22-F22</f>
        <v>0</v>
      </c>
      <c r="I22" s="211">
        <f>'2025 НЗ ББА 22.05.2023'!E41+'2025 НЗ ББА 22.05.2023'!E42+'2025 НЗ ББА 22.05.2023'!E43</f>
        <v>4734</v>
      </c>
      <c r="J22" s="211">
        <f>'2025 НЗ ДБА 22.05.2023'!E41+'2025 НЗ ДБА 22.05.2023'!E42+'2025 НЗ ДБА 22.05.2023'!E43</f>
        <v>9880</v>
      </c>
      <c r="K22" s="211">
        <f>J22-I22</f>
        <v>5146</v>
      </c>
      <c r="L22" s="215">
        <f>'2025 НЗ ББА 22.05.2023'!F41</f>
        <v>2288.25</v>
      </c>
      <c r="M22" s="196">
        <f>'2025 НЗ ББА 22.05.2023'!AE41+'2025 НЗ ББА 22.05.2023'!AE42+'2025 НЗ ББА 22.05.2023'!AE43</f>
        <v>10832.599999999999</v>
      </c>
      <c r="N22" s="196">
        <f>'2025 НЗ ДБА 22.05.2023'!AE41+'2025 НЗ ДБА 22.05.2023'!AE42+'2025 НЗ ДБА 22.05.2023'!AE43</f>
        <v>22608</v>
      </c>
      <c r="O22" s="196">
        <f>N22-M22</f>
        <v>11775.400000000001</v>
      </c>
      <c r="P22" s="213">
        <f>'2025 НЗ ББА 22.05.2023'!AF40</f>
        <v>19.600000000000001</v>
      </c>
      <c r="Q22" s="212">
        <f>F22+M22+P22</f>
        <v>19319.399999999998</v>
      </c>
      <c r="R22" s="212">
        <f>G22+N22+P22</f>
        <v>31094.799999999999</v>
      </c>
      <c r="S22" s="212">
        <f>R22-Q22</f>
        <v>11775.400000000001</v>
      </c>
    </row>
    <row r="23" spans="1:28" ht="15.75" x14ac:dyDescent="0.25">
      <c r="A23" s="164"/>
      <c r="E23" s="204"/>
    </row>
    <row r="24" spans="1:28" ht="33" customHeight="1" x14ac:dyDescent="0.25">
      <c r="A24" s="289" t="s">
        <v>77</v>
      </c>
      <c r="B24" s="263" t="s">
        <v>111</v>
      </c>
      <c r="C24" s="264"/>
      <c r="D24" s="265"/>
      <c r="AB24" s="108"/>
    </row>
    <row r="25" spans="1:28" ht="31.5" x14ac:dyDescent="0.25">
      <c r="A25" s="290"/>
      <c r="B25" s="69" t="s">
        <v>80</v>
      </c>
      <c r="C25" s="205" t="s">
        <v>81</v>
      </c>
      <c r="D25" s="70" t="s">
        <v>112</v>
      </c>
    </row>
    <row r="26" spans="1:28" ht="15.75" x14ac:dyDescent="0.25">
      <c r="A26" s="61" t="s">
        <v>113</v>
      </c>
      <c r="B26" s="65">
        <v>6</v>
      </c>
      <c r="C26" s="215">
        <v>8414850</v>
      </c>
      <c r="D26" s="196">
        <v>50489.1</v>
      </c>
    </row>
    <row r="27" spans="1:28" ht="15.75" x14ac:dyDescent="0.25">
      <c r="A27" s="206"/>
    </row>
    <row r="28" spans="1:28" ht="31.5" x14ac:dyDescent="0.25">
      <c r="A28" s="291" t="s">
        <v>114</v>
      </c>
      <c r="B28" s="291"/>
      <c r="C28" s="207" t="s">
        <v>115</v>
      </c>
    </row>
    <row r="29" spans="1:28" ht="31.5" customHeight="1" x14ac:dyDescent="0.25">
      <c r="A29" s="285" t="s">
        <v>132</v>
      </c>
      <c r="B29" s="285"/>
      <c r="C29" s="202">
        <f>X17+Q22</f>
        <v>738454.79999999993</v>
      </c>
      <c r="E29" s="200"/>
      <c r="F29" s="200"/>
    </row>
    <row r="30" spans="1:28" ht="31.5" customHeight="1" x14ac:dyDescent="0.25">
      <c r="A30" s="285" t="s">
        <v>133</v>
      </c>
      <c r="B30" s="285"/>
      <c r="C30" s="202">
        <f>Y17+R22</f>
        <v>2231025.0999999996</v>
      </c>
      <c r="E30" s="200"/>
      <c r="F30" s="200"/>
    </row>
    <row r="31" spans="1:28" ht="31.5" customHeight="1" x14ac:dyDescent="0.25">
      <c r="A31" s="285" t="s">
        <v>129</v>
      </c>
      <c r="B31" s="285"/>
      <c r="C31" s="202">
        <f>D26</f>
        <v>50489.1</v>
      </c>
    </row>
    <row r="32" spans="1:28" ht="31.5" customHeight="1" x14ac:dyDescent="0.25">
      <c r="A32" s="285" t="s">
        <v>130</v>
      </c>
      <c r="B32" s="285"/>
      <c r="C32" s="202">
        <f>C29+C31</f>
        <v>788943.89999999991</v>
      </c>
    </row>
    <row r="33" spans="1:35" ht="15.75" x14ac:dyDescent="0.25">
      <c r="A33" s="285" t="s">
        <v>131</v>
      </c>
      <c r="B33" s="285"/>
      <c r="C33" s="202">
        <f>C30+C31</f>
        <v>2281514.1999999997</v>
      </c>
    </row>
    <row r="44" spans="1:35" x14ac:dyDescent="0.25">
      <c r="AH44">
        <f>SUM(AH11:AH43)</f>
        <v>0</v>
      </c>
      <c r="AI44">
        <f>AH44-AG44</f>
        <v>0</v>
      </c>
    </row>
  </sheetData>
  <mergeCells count="59">
    <mergeCell ref="A30:B30"/>
    <mergeCell ref="A32:B32"/>
    <mergeCell ref="P19:P21"/>
    <mergeCell ref="A1:Z1"/>
    <mergeCell ref="A2:A4"/>
    <mergeCell ref="Z2:Z4"/>
    <mergeCell ref="B3:B4"/>
    <mergeCell ref="E3:E4"/>
    <mergeCell ref="Q19:Q21"/>
    <mergeCell ref="I19:O19"/>
    <mergeCell ref="T3:T4"/>
    <mergeCell ref="F3:F4"/>
    <mergeCell ref="I3:I4"/>
    <mergeCell ref="L3:L4"/>
    <mergeCell ref="M3:M4"/>
    <mergeCell ref="P3:P4"/>
    <mergeCell ref="S3:S4"/>
    <mergeCell ref="N3:N4"/>
    <mergeCell ref="O3:O4"/>
    <mergeCell ref="R19:R21"/>
    <mergeCell ref="S19:S21"/>
    <mergeCell ref="F20:F21"/>
    <mergeCell ref="I20:I21"/>
    <mergeCell ref="M20:M21"/>
    <mergeCell ref="L20:L21"/>
    <mergeCell ref="A19:A21"/>
    <mergeCell ref="B19:H19"/>
    <mergeCell ref="A31:B31"/>
    <mergeCell ref="A33:B33"/>
    <mergeCell ref="J3:J4"/>
    <mergeCell ref="K3:K4"/>
    <mergeCell ref="G3:G4"/>
    <mergeCell ref="H3:H4"/>
    <mergeCell ref="C20:C21"/>
    <mergeCell ref="D20:D21"/>
    <mergeCell ref="G20:G21"/>
    <mergeCell ref="H20:H21"/>
    <mergeCell ref="A24:A25"/>
    <mergeCell ref="A28:B28"/>
    <mergeCell ref="A29:B29"/>
    <mergeCell ref="J20:J21"/>
    <mergeCell ref="K20:K21"/>
    <mergeCell ref="B20:B21"/>
    <mergeCell ref="B24:D24"/>
    <mergeCell ref="W2:W4"/>
    <mergeCell ref="X2:X4"/>
    <mergeCell ref="Y2:Y4"/>
    <mergeCell ref="B2:H2"/>
    <mergeCell ref="I2:O2"/>
    <mergeCell ref="Q3:Q4"/>
    <mergeCell ref="R3:R4"/>
    <mergeCell ref="U3:U4"/>
    <mergeCell ref="V3:V4"/>
    <mergeCell ref="C3:C4"/>
    <mergeCell ref="D3:D4"/>
    <mergeCell ref="N20:N21"/>
    <mergeCell ref="O20:O21"/>
    <mergeCell ref="E20:E21"/>
    <mergeCell ref="P2:V2"/>
  </mergeCells>
  <pageMargins left="0.25" right="0.25" top="0.75" bottom="0.75" header="0.3" footer="0.3"/>
  <pageSetup paperSize="9" scale="3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44"/>
  <sheetViews>
    <sheetView zoomScale="85" zoomScaleNormal="85" workbookViewId="0">
      <pane xSplit="1" ySplit="4" topLeftCell="B5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38.140625" customWidth="1"/>
    <col min="2" max="2" width="13.42578125" customWidth="1"/>
    <col min="3" max="4" width="13.5703125" customWidth="1"/>
    <col min="5" max="5" width="16.7109375" customWidth="1"/>
    <col min="6" max="8" width="17.42578125" customWidth="1"/>
    <col min="9" max="12" width="13.28515625" customWidth="1"/>
    <col min="13" max="15" width="13.42578125" customWidth="1"/>
    <col min="16" max="18" width="12.85546875" customWidth="1"/>
    <col min="19" max="19" width="13.42578125" bestFit="1" customWidth="1"/>
    <col min="20" max="20" width="15.7109375" bestFit="1" customWidth="1"/>
    <col min="21" max="23" width="15.7109375" customWidth="1"/>
    <col min="24" max="24" width="18.42578125" customWidth="1"/>
    <col min="25" max="25" width="17.7109375" customWidth="1"/>
    <col min="26" max="26" width="20.42578125" customWidth="1"/>
    <col min="27" max="27" width="15.42578125" customWidth="1"/>
    <col min="28" max="28" width="13" customWidth="1"/>
    <col min="29" max="29" width="13.7109375" customWidth="1"/>
    <col min="31" max="31" width="11.140625" customWidth="1"/>
    <col min="32" max="37" width="15.42578125" customWidth="1"/>
  </cols>
  <sheetData>
    <row r="1" spans="1:30" ht="24.75" customHeight="1" x14ac:dyDescent="0.25">
      <c r="A1" s="302" t="s">
        <v>134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</row>
    <row r="2" spans="1:30" ht="15.75" customHeight="1" x14ac:dyDescent="0.25">
      <c r="A2" s="294" t="s">
        <v>77</v>
      </c>
      <c r="B2" s="272" t="s">
        <v>78</v>
      </c>
      <c r="C2" s="273"/>
      <c r="D2" s="273"/>
      <c r="E2" s="273"/>
      <c r="F2" s="273"/>
      <c r="G2" s="273"/>
      <c r="H2" s="274"/>
      <c r="I2" s="275" t="s">
        <v>79</v>
      </c>
      <c r="J2" s="276"/>
      <c r="K2" s="276"/>
      <c r="L2" s="276"/>
      <c r="M2" s="276"/>
      <c r="N2" s="276"/>
      <c r="O2" s="277"/>
      <c r="P2" s="282" t="s">
        <v>108</v>
      </c>
      <c r="Q2" s="283"/>
      <c r="R2" s="283"/>
      <c r="S2" s="283"/>
      <c r="T2" s="283"/>
      <c r="U2" s="283"/>
      <c r="V2" s="284"/>
      <c r="W2" s="266" t="s">
        <v>123</v>
      </c>
      <c r="X2" s="269" t="s">
        <v>135</v>
      </c>
      <c r="Y2" s="269" t="s">
        <v>136</v>
      </c>
      <c r="Z2" s="269" t="s">
        <v>126</v>
      </c>
    </row>
    <row r="3" spans="1:30" ht="15" customHeight="1" x14ac:dyDescent="0.25">
      <c r="A3" s="294"/>
      <c r="B3" s="280" t="s">
        <v>116</v>
      </c>
      <c r="C3" s="280" t="s">
        <v>117</v>
      </c>
      <c r="D3" s="280" t="s">
        <v>118</v>
      </c>
      <c r="E3" s="281" t="s">
        <v>81</v>
      </c>
      <c r="F3" s="279" t="s">
        <v>119</v>
      </c>
      <c r="G3" s="279" t="s">
        <v>120</v>
      </c>
      <c r="H3" s="279" t="s">
        <v>121</v>
      </c>
      <c r="I3" s="286" t="s">
        <v>80</v>
      </c>
      <c r="J3" s="286" t="s">
        <v>117</v>
      </c>
      <c r="K3" s="286" t="s">
        <v>118</v>
      </c>
      <c r="L3" s="281" t="s">
        <v>81</v>
      </c>
      <c r="M3" s="279" t="s">
        <v>119</v>
      </c>
      <c r="N3" s="279" t="s">
        <v>120</v>
      </c>
      <c r="O3" s="279" t="s">
        <v>121</v>
      </c>
      <c r="P3" s="278" t="s">
        <v>80</v>
      </c>
      <c r="Q3" s="278" t="s">
        <v>117</v>
      </c>
      <c r="R3" s="278" t="s">
        <v>118</v>
      </c>
      <c r="S3" s="281" t="s">
        <v>81</v>
      </c>
      <c r="T3" s="279" t="s">
        <v>119</v>
      </c>
      <c r="U3" s="279" t="s">
        <v>120</v>
      </c>
      <c r="V3" s="279" t="s">
        <v>121</v>
      </c>
      <c r="W3" s="267"/>
      <c r="X3" s="270"/>
      <c r="Y3" s="270"/>
      <c r="Z3" s="270"/>
    </row>
    <row r="4" spans="1:30" ht="61.5" customHeight="1" x14ac:dyDescent="0.25">
      <c r="A4" s="294"/>
      <c r="B4" s="280"/>
      <c r="C4" s="280"/>
      <c r="D4" s="280"/>
      <c r="E4" s="281"/>
      <c r="F4" s="279"/>
      <c r="G4" s="279"/>
      <c r="H4" s="279"/>
      <c r="I4" s="286"/>
      <c r="J4" s="286"/>
      <c r="K4" s="286"/>
      <c r="L4" s="281"/>
      <c r="M4" s="279"/>
      <c r="N4" s="279"/>
      <c r="O4" s="279"/>
      <c r="P4" s="278"/>
      <c r="Q4" s="278"/>
      <c r="R4" s="278"/>
      <c r="S4" s="281"/>
      <c r="T4" s="279"/>
      <c r="U4" s="279"/>
      <c r="V4" s="279"/>
      <c r="W4" s="268"/>
      <c r="X4" s="271"/>
      <c r="Y4" s="271"/>
      <c r="Z4" s="271"/>
    </row>
    <row r="5" spans="1:30" ht="15.75" x14ac:dyDescent="0.25">
      <c r="A5" s="61" t="s">
        <v>51</v>
      </c>
      <c r="B5" s="62">
        <f>'2026 НЗ ББА 22.05.2023'!E29</f>
        <v>31946</v>
      </c>
      <c r="C5" s="62">
        <f>'2026 НЗ ДБА 22.05.2023'!E29</f>
        <v>97112</v>
      </c>
      <c r="D5" s="62">
        <f>C5-B5</f>
        <v>65166</v>
      </c>
      <c r="E5" s="61">
        <f>'2026 НЗ ББА 22.05.2023'!F29</f>
        <v>3277.9600000000005</v>
      </c>
      <c r="F5" s="196">
        <f>'2026 НЗ ББА 22.05.2023'!AE29</f>
        <v>104717.7</v>
      </c>
      <c r="G5" s="196">
        <f>'2026 НЗ ДБА 22.05.2023'!AE29</f>
        <v>318329.3</v>
      </c>
      <c r="H5" s="196">
        <f>G5-F5</f>
        <v>213611.59999999998</v>
      </c>
      <c r="I5" s="64">
        <f>'2026 НЗ ББА 22.05.2023'!E30</f>
        <v>36</v>
      </c>
      <c r="J5" s="64">
        <f>'2026 НЗ ДБА 22.05.2023'!E30</f>
        <v>80</v>
      </c>
      <c r="K5" s="64">
        <f>J5-I5</f>
        <v>44</v>
      </c>
      <c r="L5" s="61">
        <f>'2026 НЗ ББА 22.05.2023'!F30</f>
        <v>15572.210000000001</v>
      </c>
      <c r="M5" s="196">
        <f>'2026 НЗ ББА 22.05.2023'!AE30</f>
        <v>560.6</v>
      </c>
      <c r="N5" s="196">
        <f>'2026 НЗ ДБА 22.05.2023'!AE30</f>
        <v>1245.8</v>
      </c>
      <c r="O5" s="196">
        <f>N5-M5</f>
        <v>685.19999999999993</v>
      </c>
      <c r="P5" s="197">
        <f>'2026 НЗ ББА 22.05.2023'!E31</f>
        <v>0</v>
      </c>
      <c r="Q5" s="197">
        <f>'2026 НЗ ДБА 22.05.2023'!E31</f>
        <v>0</v>
      </c>
      <c r="R5" s="197">
        <f>Q5-P5</f>
        <v>0</v>
      </c>
      <c r="S5" s="61">
        <f>'2026 НЗ ББА 22.05.2023'!F31</f>
        <v>0</v>
      </c>
      <c r="T5" s="196">
        <f>'2026 НЗ ББА 22.05.2023'!AE31</f>
        <v>0</v>
      </c>
      <c r="U5" s="196">
        <f>'2026 НЗ ДБА 22.05.2023'!AE31</f>
        <v>0</v>
      </c>
      <c r="V5" s="196">
        <f>U5-T5</f>
        <v>0</v>
      </c>
      <c r="W5" s="213">
        <f>'2026 НЗ ББА 22.05.2023'!AF29</f>
        <v>457</v>
      </c>
      <c r="X5" s="214">
        <f>F5+M5+T5+W5</f>
        <v>105735.3</v>
      </c>
      <c r="Y5" s="214">
        <f>G5+N5+U5+W5</f>
        <v>320032.09999999998</v>
      </c>
      <c r="Z5" s="214">
        <f>Y5-X5</f>
        <v>214296.8</v>
      </c>
      <c r="AC5" s="200"/>
      <c r="AD5" s="200"/>
    </row>
    <row r="6" spans="1:30" ht="15.75" x14ac:dyDescent="0.25">
      <c r="A6" s="61" t="s">
        <v>46</v>
      </c>
      <c r="B6" s="65">
        <f>'2026 НЗ ББА 22.05.2023'!E20</f>
        <v>10376</v>
      </c>
      <c r="C6" s="65">
        <f>'2026 НЗ ДБА 22.05.2023'!E20</f>
        <v>36657</v>
      </c>
      <c r="D6" s="62">
        <f t="shared" ref="D6:D14" si="0">C6-B6</f>
        <v>26281</v>
      </c>
      <c r="E6" s="215">
        <f>'2026 НЗ ББА 22.05.2023'!F20</f>
        <v>8592.6299999999992</v>
      </c>
      <c r="F6" s="196">
        <f>'2026 НЗ ББА 22.05.2023'!AE20</f>
        <v>89157.1</v>
      </c>
      <c r="G6" s="196">
        <f>'2026 НЗ ДБА 22.05.2023'!AE20</f>
        <v>314980</v>
      </c>
      <c r="H6" s="196">
        <f t="shared" ref="H6:H14" si="1">G6-F6</f>
        <v>225822.9</v>
      </c>
      <c r="I6" s="64">
        <f>'2026 НЗ ББА 22.05.2023'!E21</f>
        <v>38</v>
      </c>
      <c r="J6" s="64">
        <f>'2026 НЗ ДБА 22.05.2023'!E21</f>
        <v>138</v>
      </c>
      <c r="K6" s="64">
        <f t="shared" ref="K6:K16" si="2">J6-I6</f>
        <v>100</v>
      </c>
      <c r="L6" s="61">
        <f>'2026 НЗ ББА 22.05.2023'!F21</f>
        <v>23484.61</v>
      </c>
      <c r="M6" s="196">
        <f>'2026 НЗ ББА 22.05.2023'!AE21</f>
        <v>892.4</v>
      </c>
      <c r="N6" s="196">
        <f>'2026 НЗ ДБА 22.05.2023'!AE21</f>
        <v>3240.9</v>
      </c>
      <c r="O6" s="196">
        <f t="shared" ref="O6:O16" si="3">N6-M6</f>
        <v>2348.5</v>
      </c>
      <c r="P6" s="197">
        <f>'2026 НЗ ББА 22.05.2023'!E22</f>
        <v>0</v>
      </c>
      <c r="Q6" s="197">
        <f>'2026 НЗ ДБА 22.05.2023'!E22</f>
        <v>0</v>
      </c>
      <c r="R6" s="197">
        <f t="shared" ref="R6:R11" si="4">Q6-P6</f>
        <v>0</v>
      </c>
      <c r="S6" s="61">
        <f>'2026 НЗ ББА 22.05.2023'!F22</f>
        <v>0</v>
      </c>
      <c r="T6" s="196">
        <f>'2026 НЗ ББА 22.05.2023'!AE22</f>
        <v>0</v>
      </c>
      <c r="U6" s="196">
        <f>'2026 НЗ ДБА 22.05.2023'!AE22</f>
        <v>0</v>
      </c>
      <c r="V6" s="196">
        <f t="shared" ref="V6:V11" si="5">U6-T6</f>
        <v>0</v>
      </c>
      <c r="W6" s="213">
        <f>'2026 НЗ ББА 22.05.2023'!AF20</f>
        <v>93.5</v>
      </c>
      <c r="X6" s="214">
        <f t="shared" ref="X6:X11" si="6">F6+M6+T6+W6</f>
        <v>90143</v>
      </c>
      <c r="Y6" s="214">
        <f t="shared" ref="Y6:Y17" si="7">G6+N6+U6+W6</f>
        <v>318314.40000000002</v>
      </c>
      <c r="Z6" s="214">
        <f t="shared" ref="Z6:Z17" si="8">Y6-X6</f>
        <v>228171.40000000002</v>
      </c>
      <c r="AC6" s="200"/>
      <c r="AD6" s="200"/>
    </row>
    <row r="7" spans="1:30" ht="15.75" x14ac:dyDescent="0.25">
      <c r="A7" s="61" t="s">
        <v>48</v>
      </c>
      <c r="B7" s="65">
        <f>'2026 НЗ ББА 22.05.2023'!E26</f>
        <v>22657</v>
      </c>
      <c r="C7" s="65">
        <f>'2026 НЗ ДБА 22.05.2023'!E26</f>
        <v>57470</v>
      </c>
      <c r="D7" s="62">
        <f t="shared" si="0"/>
        <v>34813</v>
      </c>
      <c r="E7" s="215">
        <f>'2026 НЗ ББА 22.05.2023'!F26</f>
        <v>4657.74</v>
      </c>
      <c r="F7" s="196">
        <f>'2026 НЗ ББА 22.05.2023'!AE26</f>
        <v>105530.4</v>
      </c>
      <c r="G7" s="196">
        <f>'2026 НЗ ДБА 22.05.2023'!AE26</f>
        <v>267680.3</v>
      </c>
      <c r="H7" s="196">
        <f t="shared" si="1"/>
        <v>162149.9</v>
      </c>
      <c r="I7" s="64">
        <f>'2026 НЗ ББА 22.05.2023'!E27</f>
        <v>25</v>
      </c>
      <c r="J7" s="64">
        <f>'2026 НЗ ДБА 22.05.2023'!E27</f>
        <v>117</v>
      </c>
      <c r="K7" s="64">
        <f t="shared" si="2"/>
        <v>92</v>
      </c>
      <c r="L7" s="61">
        <f>'2026 НЗ ББА 22.05.2023'!F27</f>
        <v>15426.37</v>
      </c>
      <c r="M7" s="196">
        <f>'2026 НЗ ББА 22.05.2023'!AE27</f>
        <v>385.7</v>
      </c>
      <c r="N7" s="196">
        <f>'2026 НЗ ДБА 22.05.2023'!AE27</f>
        <v>1804.9</v>
      </c>
      <c r="O7" s="196">
        <f t="shared" si="3"/>
        <v>1419.2</v>
      </c>
      <c r="P7" s="197">
        <f>'2026 НЗ ББА 22.05.2023'!E28</f>
        <v>2</v>
      </c>
      <c r="Q7" s="197">
        <f>'2026 НЗ ДБА 22.05.2023'!E28</f>
        <v>6</v>
      </c>
      <c r="R7" s="197">
        <f t="shared" si="4"/>
        <v>4</v>
      </c>
      <c r="S7" s="61">
        <f>'2026 НЗ ББА 22.05.2023'!F28</f>
        <v>88406.28</v>
      </c>
      <c r="T7" s="196">
        <f>'2026 НЗ ББА 22.05.2023'!AE28</f>
        <v>176.8</v>
      </c>
      <c r="U7" s="196">
        <f>'2026 НЗ ДБА 22.05.2023'!AE28</f>
        <v>530.4</v>
      </c>
      <c r="V7" s="196">
        <f t="shared" si="5"/>
        <v>353.59999999999997</v>
      </c>
      <c r="W7" s="213">
        <f>'2026 НЗ ББА 22.05.2023'!AF26</f>
        <v>656.9</v>
      </c>
      <c r="X7" s="214">
        <f t="shared" si="6"/>
        <v>106749.79999999999</v>
      </c>
      <c r="Y7" s="214">
        <f t="shared" si="7"/>
        <v>270672.50000000006</v>
      </c>
      <c r="Z7" s="214">
        <f t="shared" si="8"/>
        <v>163922.70000000007</v>
      </c>
      <c r="AC7" s="200"/>
      <c r="AD7" s="200"/>
    </row>
    <row r="8" spans="1:30" ht="15.75" x14ac:dyDescent="0.25">
      <c r="A8" s="61" t="s">
        <v>44</v>
      </c>
      <c r="B8" s="65">
        <f>'2026 НЗ ББА 22.05.2023'!E17</f>
        <v>30801</v>
      </c>
      <c r="C8" s="65">
        <f>'2026 НЗ ДБА 22.05.2023'!E17</f>
        <v>120528</v>
      </c>
      <c r="D8" s="62">
        <f t="shared" si="0"/>
        <v>89727</v>
      </c>
      <c r="E8" s="215">
        <f>'2026 НЗ ББА 22.05.2023'!F17</f>
        <v>3086.2000000000003</v>
      </c>
      <c r="F8" s="196">
        <f>'2026 НЗ ББА 22.05.2023'!AE17</f>
        <v>95058</v>
      </c>
      <c r="G8" s="196">
        <f>'2026 НЗ ДБА 22.05.2023'!AE17</f>
        <v>371973.5</v>
      </c>
      <c r="H8" s="196">
        <f t="shared" si="1"/>
        <v>276915.5</v>
      </c>
      <c r="I8" s="64">
        <f>'2026 НЗ ББА 22.05.2023'!E18</f>
        <v>150</v>
      </c>
      <c r="J8" s="64">
        <f>'2026 НЗ ДБА 22.05.2023'!E18</f>
        <v>334</v>
      </c>
      <c r="K8" s="64">
        <f t="shared" si="2"/>
        <v>184</v>
      </c>
      <c r="L8" s="61">
        <f>'2026 НЗ ББА 22.05.2023'!F18</f>
        <v>20060.52</v>
      </c>
      <c r="M8" s="196">
        <f>'2026 НЗ ББА 22.05.2023'!AE18</f>
        <v>3009.1</v>
      </c>
      <c r="N8" s="196">
        <f>'2026 НЗ ДБА 22.05.2023'!AE18</f>
        <v>6700.2</v>
      </c>
      <c r="O8" s="196">
        <f t="shared" si="3"/>
        <v>3691.1</v>
      </c>
      <c r="P8" s="197">
        <f>'2026 НЗ ББА 22.05.2023'!E19</f>
        <v>0</v>
      </c>
      <c r="Q8" s="197">
        <f>'2026 НЗ ДБА 22.05.2023'!E19</f>
        <v>0</v>
      </c>
      <c r="R8" s="197">
        <f t="shared" si="4"/>
        <v>0</v>
      </c>
      <c r="S8" s="61">
        <f>'2026 НЗ ББА 22.05.2023'!F19</f>
        <v>0</v>
      </c>
      <c r="T8" s="196">
        <f>'2026 НЗ ББА 22.05.2023'!AE19</f>
        <v>0</v>
      </c>
      <c r="U8" s="196">
        <f>'2026 НЗ ДБА 22.05.2023'!AE19</f>
        <v>0</v>
      </c>
      <c r="V8" s="196">
        <f t="shared" si="5"/>
        <v>0</v>
      </c>
      <c r="W8" s="213">
        <f>'2026 НЗ ББА 22.05.2023'!AF17</f>
        <v>398.4</v>
      </c>
      <c r="X8" s="214">
        <f t="shared" si="6"/>
        <v>98465.5</v>
      </c>
      <c r="Y8" s="214">
        <f t="shared" si="7"/>
        <v>379072.10000000003</v>
      </c>
      <c r="Z8" s="214">
        <f t="shared" si="8"/>
        <v>280606.60000000003</v>
      </c>
      <c r="AC8" s="200"/>
      <c r="AD8" s="200"/>
    </row>
    <row r="9" spans="1:30" ht="15.75" x14ac:dyDescent="0.25">
      <c r="A9" s="61" t="s">
        <v>43</v>
      </c>
      <c r="B9" s="65">
        <f>'2026 НЗ ББА 22.05.2023'!E14</f>
        <v>20330</v>
      </c>
      <c r="C9" s="65">
        <f>'2026 НЗ ДБА 22.05.2023'!E14</f>
        <v>48070</v>
      </c>
      <c r="D9" s="62">
        <f t="shared" si="0"/>
        <v>27740</v>
      </c>
      <c r="E9" s="215">
        <f>'2026 НЗ ББА 22.05.2023'!F14</f>
        <v>4326.04</v>
      </c>
      <c r="F9" s="196">
        <f>'2026 НЗ ББА 22.05.2023'!AE14</f>
        <v>87948.4</v>
      </c>
      <c r="G9" s="196">
        <f>'2026 НЗ ДБА 22.05.2023'!AE14</f>
        <v>207952.7</v>
      </c>
      <c r="H9" s="196">
        <f t="shared" si="1"/>
        <v>120004.30000000002</v>
      </c>
      <c r="I9" s="64">
        <f>'2026 НЗ ББА 22.05.2023'!E15</f>
        <v>60</v>
      </c>
      <c r="J9" s="64">
        <f>'2026 НЗ ДБА 22.05.2023'!E15</f>
        <v>60</v>
      </c>
      <c r="K9" s="64">
        <f t="shared" si="2"/>
        <v>0</v>
      </c>
      <c r="L9" s="61">
        <f>'2026 НЗ ББА 22.05.2023'!F15</f>
        <v>32575.27</v>
      </c>
      <c r="M9" s="196">
        <f>'2026 НЗ ББА 22.05.2023'!AE15</f>
        <v>1954.5</v>
      </c>
      <c r="N9" s="196">
        <f>'2026 НЗ ДБА 22.05.2023'!AE15</f>
        <v>1954.5</v>
      </c>
      <c r="O9" s="196">
        <f t="shared" si="3"/>
        <v>0</v>
      </c>
      <c r="P9" s="197">
        <f>'2026 НЗ ББА 22.05.2023'!E16</f>
        <v>1</v>
      </c>
      <c r="Q9" s="197">
        <f>'2026 НЗ ДБА 22.05.2023'!E16</f>
        <v>1</v>
      </c>
      <c r="R9" s="197">
        <f t="shared" si="4"/>
        <v>0</v>
      </c>
      <c r="S9" s="61">
        <f>'2026 НЗ ББА 22.05.2023'!F16</f>
        <v>323871.60000000009</v>
      </c>
      <c r="T9" s="196">
        <f>'2026 НЗ ББА 22.05.2023'!AE16</f>
        <v>323.89999999999998</v>
      </c>
      <c r="U9" s="196">
        <f>'2026 НЗ ДБА 22.05.2023'!AE16</f>
        <v>323.89999999999998</v>
      </c>
      <c r="V9" s="196">
        <f t="shared" si="5"/>
        <v>0</v>
      </c>
      <c r="W9" s="213">
        <f>'2026 НЗ ББА 22.05.2023'!AF14</f>
        <v>297.3</v>
      </c>
      <c r="X9" s="214">
        <f t="shared" si="6"/>
        <v>90524.099999999991</v>
      </c>
      <c r="Y9" s="214">
        <f t="shared" si="7"/>
        <v>210528.4</v>
      </c>
      <c r="Z9" s="214">
        <f t="shared" si="8"/>
        <v>120004.3</v>
      </c>
      <c r="AC9" s="200"/>
      <c r="AD9" s="200"/>
    </row>
    <row r="10" spans="1:30" ht="15.75" x14ac:dyDescent="0.25">
      <c r="A10" s="61" t="s">
        <v>35</v>
      </c>
      <c r="B10" s="65">
        <f>'2026 НЗ ББА 22.05.2023'!E11</f>
        <v>24233</v>
      </c>
      <c r="C10" s="65">
        <f>'2026 НЗ ДБА 22.05.2023'!E11</f>
        <v>106614</v>
      </c>
      <c r="D10" s="62">
        <f t="shared" si="0"/>
        <v>82381</v>
      </c>
      <c r="E10" s="215">
        <f>'2026 НЗ ББА 22.05.2023'!F11</f>
        <v>4177.51</v>
      </c>
      <c r="F10" s="196">
        <f>'2026 НЗ ББА 22.05.2023'!AE11</f>
        <v>101233.60000000001</v>
      </c>
      <c r="G10" s="196">
        <f>'2026 НЗ ДБА 22.05.2023'!AE11</f>
        <v>445381.1</v>
      </c>
      <c r="H10" s="196">
        <f t="shared" si="1"/>
        <v>344147.5</v>
      </c>
      <c r="I10" s="64">
        <f>'2026 НЗ ББА 22.05.2023'!E12</f>
        <v>57</v>
      </c>
      <c r="J10" s="64">
        <f>'2026 НЗ ДБА 22.05.2023'!E12</f>
        <v>215</v>
      </c>
      <c r="K10" s="64">
        <f t="shared" si="2"/>
        <v>158</v>
      </c>
      <c r="L10" s="61">
        <f>'2026 НЗ ББА 22.05.2023'!F12</f>
        <v>32443.33</v>
      </c>
      <c r="M10" s="196">
        <f>'2026 НЗ ББА 22.05.2023'!AE12</f>
        <v>1849.3</v>
      </c>
      <c r="N10" s="196">
        <f>'2026 НЗ ДБА 22.05.2023'!AE12</f>
        <v>6975.3</v>
      </c>
      <c r="O10" s="196">
        <f t="shared" si="3"/>
        <v>5126</v>
      </c>
      <c r="P10" s="197">
        <f>'2026 НЗ ББА 22.05.2023'!E13</f>
        <v>5</v>
      </c>
      <c r="Q10" s="197">
        <f>'2026 НЗ ДБА 22.05.2023'!E13</f>
        <v>10</v>
      </c>
      <c r="R10" s="197">
        <f t="shared" si="4"/>
        <v>5</v>
      </c>
      <c r="S10" s="61">
        <f>'2026 НЗ ББА 22.05.2023'!F13</f>
        <v>121792.38</v>
      </c>
      <c r="T10" s="196">
        <f>'2026 НЗ ББА 22.05.2023'!AE13</f>
        <v>609</v>
      </c>
      <c r="U10" s="196">
        <f>'2026 НЗ ДБА 22.05.2023'!AE13</f>
        <v>1217.9000000000001</v>
      </c>
      <c r="V10" s="196">
        <f t="shared" si="5"/>
        <v>608.90000000000009</v>
      </c>
      <c r="W10" s="213">
        <f>'2026 НЗ ББА 22.05.2023'!AF11</f>
        <v>788.6</v>
      </c>
      <c r="X10" s="214">
        <f t="shared" si="6"/>
        <v>104480.50000000001</v>
      </c>
      <c r="Y10" s="214">
        <f t="shared" si="7"/>
        <v>454362.89999999997</v>
      </c>
      <c r="Z10" s="214">
        <f t="shared" si="8"/>
        <v>349882.39999999997</v>
      </c>
      <c r="AC10" s="200"/>
      <c r="AD10" s="200"/>
    </row>
    <row r="11" spans="1:30" ht="15.75" x14ac:dyDescent="0.25">
      <c r="A11" s="61" t="s">
        <v>47</v>
      </c>
      <c r="B11" s="65">
        <f>'2026 НЗ ББА 22.05.2023'!E23</f>
        <v>18230</v>
      </c>
      <c r="C11" s="65">
        <f>'2026 НЗ ДБА 22.05.2023'!E23</f>
        <v>43300</v>
      </c>
      <c r="D11" s="62">
        <f t="shared" si="0"/>
        <v>25070</v>
      </c>
      <c r="E11" s="215">
        <f>'2026 НЗ ББА 22.05.2023'!F23</f>
        <v>5925.2099999999991</v>
      </c>
      <c r="F11" s="196">
        <f>'2026 НЗ ББА 22.05.2023'!AE23</f>
        <v>108016.6</v>
      </c>
      <c r="G11" s="196">
        <f>'2026 НЗ ДБА 22.05.2023'!AE23</f>
        <v>256561.6</v>
      </c>
      <c r="H11" s="196">
        <f t="shared" si="1"/>
        <v>148545</v>
      </c>
      <c r="I11" s="64">
        <f>'2026 НЗ ББА 22.05.2023'!E24</f>
        <v>220</v>
      </c>
      <c r="J11" s="64">
        <f>'2026 НЗ ДБА 22.05.2023'!E24</f>
        <v>220</v>
      </c>
      <c r="K11" s="64">
        <f t="shared" si="2"/>
        <v>0</v>
      </c>
      <c r="L11" s="61">
        <f>'2026 НЗ ББА 22.05.2023'!F24</f>
        <v>16045.209999999995</v>
      </c>
      <c r="M11" s="196">
        <f>'2026 НЗ ББА 22.05.2023'!AE24</f>
        <v>3529.9</v>
      </c>
      <c r="N11" s="196">
        <f>'2026 НЗ ДБА 22.05.2023'!AE24</f>
        <v>3529.9</v>
      </c>
      <c r="O11" s="196">
        <f t="shared" si="3"/>
        <v>0</v>
      </c>
      <c r="P11" s="197">
        <f>'2026 НЗ ББА 22.05.2023'!E25</f>
        <v>30</v>
      </c>
      <c r="Q11" s="197">
        <f>'2026 НЗ ДБА 22.05.2023'!E25</f>
        <v>30</v>
      </c>
      <c r="R11" s="197">
        <f t="shared" si="4"/>
        <v>0</v>
      </c>
      <c r="S11" s="61">
        <f>'2026 НЗ ББА 22.05.2023'!F25</f>
        <v>107471.55000000003</v>
      </c>
      <c r="T11" s="196">
        <f>'2026 НЗ ББА 22.05.2023'!AE25</f>
        <v>3224.1</v>
      </c>
      <c r="U11" s="196">
        <f>'2026 НЗ ДБА 22.05.2023'!AE25</f>
        <v>3224.1</v>
      </c>
      <c r="V11" s="196">
        <f t="shared" si="5"/>
        <v>0</v>
      </c>
      <c r="W11" s="213">
        <f>'2026 НЗ ББА 22.05.2023'!AF23</f>
        <v>324.3</v>
      </c>
      <c r="X11" s="214">
        <f t="shared" si="6"/>
        <v>115094.90000000001</v>
      </c>
      <c r="Y11" s="214">
        <f t="shared" si="7"/>
        <v>263639.89999999997</v>
      </c>
      <c r="Z11" s="214">
        <f t="shared" si="8"/>
        <v>148544.99999999994</v>
      </c>
      <c r="AC11" s="200"/>
      <c r="AD11" s="200"/>
    </row>
    <row r="12" spans="1:30" ht="15.75" x14ac:dyDescent="0.25">
      <c r="A12" s="61" t="s">
        <v>109</v>
      </c>
      <c r="B12" s="65">
        <f>'2026 НЗ ББА 22.05.2023'!E34</f>
        <v>2207</v>
      </c>
      <c r="C12" s="65">
        <f>'2026 НЗ ДБА 22.05.2023'!E34</f>
        <v>5286</v>
      </c>
      <c r="D12" s="62">
        <f t="shared" si="0"/>
        <v>3079</v>
      </c>
      <c r="E12" s="215">
        <f>'2026 НЗ ББА 22.05.2023'!F34</f>
        <v>1978.3700000000001</v>
      </c>
      <c r="F12" s="63">
        <f>'2026 НЗ ББА 22.05.2023'!AE34</f>
        <v>4366.3</v>
      </c>
      <c r="G12" s="63">
        <f>'2026 НЗ ДБА 22.05.2023'!AE34</f>
        <v>10457.700000000001</v>
      </c>
      <c r="H12" s="196">
        <f t="shared" si="1"/>
        <v>6091.4000000000005</v>
      </c>
      <c r="I12" s="64">
        <f>'2026 НЗ ББА 22.05.2023'!E35</f>
        <v>5</v>
      </c>
      <c r="J12" s="64">
        <f>'2026 НЗ ДБА 22.05.2023'!E35</f>
        <v>10</v>
      </c>
      <c r="K12" s="64">
        <f t="shared" si="2"/>
        <v>5</v>
      </c>
      <c r="L12" s="61">
        <f>'2026 НЗ ББА 22.05.2023'!F35</f>
        <v>61370.610000000008</v>
      </c>
      <c r="M12" s="63">
        <f>'2026 НЗ ББА 22.05.2023'!AE35</f>
        <v>306.89999999999998</v>
      </c>
      <c r="N12" s="63">
        <f>'2026 НЗ ДБА 22.05.2023'!AE35</f>
        <v>613.70000000000005</v>
      </c>
      <c r="O12" s="196">
        <f t="shared" si="3"/>
        <v>306.80000000000007</v>
      </c>
      <c r="P12" s="197" t="s">
        <v>76</v>
      </c>
      <c r="Q12" s="197" t="s">
        <v>76</v>
      </c>
      <c r="R12" s="197" t="s">
        <v>76</v>
      </c>
      <c r="S12" s="198" t="s">
        <v>76</v>
      </c>
      <c r="T12" s="196" t="s">
        <v>76</v>
      </c>
      <c r="U12" s="196" t="s">
        <v>76</v>
      </c>
      <c r="V12" s="196" t="s">
        <v>76</v>
      </c>
      <c r="W12" s="213">
        <v>435</v>
      </c>
      <c r="X12" s="214">
        <f>F12+M12+W12</f>
        <v>5108.2</v>
      </c>
      <c r="Y12" s="214">
        <f>G12+N12+W12</f>
        <v>11506.400000000001</v>
      </c>
      <c r="Z12" s="214">
        <f t="shared" si="8"/>
        <v>6398.2000000000016</v>
      </c>
      <c r="AC12" s="108"/>
      <c r="AD12" s="200"/>
    </row>
    <row r="13" spans="1:30" ht="15.75" x14ac:dyDescent="0.25">
      <c r="A13" s="61" t="s">
        <v>55</v>
      </c>
      <c r="B13" s="65">
        <f>'2026 НЗ ББА 22.05.2023'!E36</f>
        <v>3961</v>
      </c>
      <c r="C13" s="65">
        <f>'2026 НЗ ДБА 22.05.2023'!E36</f>
        <v>7974</v>
      </c>
      <c r="D13" s="62">
        <f t="shared" si="0"/>
        <v>4013</v>
      </c>
      <c r="E13" s="215">
        <f>'2026 НЗ ББА 22.05.2023'!F36</f>
        <v>2533.8799999999997</v>
      </c>
      <c r="F13" s="196">
        <f>'2026 НЗ ББА 22.05.2023'!AE36</f>
        <v>10036.700000000001</v>
      </c>
      <c r="G13" s="196">
        <f>'2026 НЗ ДБА 22.05.2023'!AE36</f>
        <v>20205.2</v>
      </c>
      <c r="H13" s="196">
        <f t="shared" si="1"/>
        <v>10168.5</v>
      </c>
      <c r="I13" s="64">
        <f>'2026 НЗ ББА 22.05.2023'!E37</f>
        <v>12</v>
      </c>
      <c r="J13" s="64">
        <f>'2026 НЗ ДБА 22.05.2023'!E37</f>
        <v>30</v>
      </c>
      <c r="K13" s="64">
        <f t="shared" si="2"/>
        <v>18</v>
      </c>
      <c r="L13" s="61">
        <f>'2026 НЗ ББА 22.05.2023'!F37</f>
        <v>18550.939999999999</v>
      </c>
      <c r="M13" s="196">
        <f>'2026 НЗ ББА 22.05.2023'!AE37</f>
        <v>222.6</v>
      </c>
      <c r="N13" s="196">
        <f>'2026 НЗ ДБА 22.05.2023'!AE37</f>
        <v>556.5</v>
      </c>
      <c r="O13" s="196">
        <f t="shared" si="3"/>
        <v>333.9</v>
      </c>
      <c r="P13" s="197" t="s">
        <v>76</v>
      </c>
      <c r="Q13" s="197" t="s">
        <v>76</v>
      </c>
      <c r="R13" s="197" t="s">
        <v>76</v>
      </c>
      <c r="S13" s="198" t="s">
        <v>76</v>
      </c>
      <c r="T13" s="196" t="s">
        <v>76</v>
      </c>
      <c r="U13" s="196" t="s">
        <v>76</v>
      </c>
      <c r="V13" s="196" t="s">
        <v>76</v>
      </c>
      <c r="W13" s="213">
        <f>'2026 НЗ ББА 22.05.2023'!AF36</f>
        <v>264.39999999999998</v>
      </c>
      <c r="X13" s="214">
        <f>F13+M13+W13</f>
        <v>10523.7</v>
      </c>
      <c r="Y13" s="214">
        <f t="shared" ref="Y13:Y14" si="9">G13+N13+W13</f>
        <v>21026.100000000002</v>
      </c>
      <c r="Z13" s="214">
        <f t="shared" si="8"/>
        <v>10502.400000000001</v>
      </c>
      <c r="AC13" s="108"/>
      <c r="AD13" s="200"/>
    </row>
    <row r="14" spans="1:30" s="201" customFormat="1" ht="31.5" x14ac:dyDescent="0.25">
      <c r="A14" s="208" t="s">
        <v>52</v>
      </c>
      <c r="B14" s="65">
        <f>'2026 НЗ ББА 22.05.2023'!E32</f>
        <v>714</v>
      </c>
      <c r="C14" s="65">
        <f>'2026 НЗ ДБА 22.05.2023'!E32</f>
        <v>1500</v>
      </c>
      <c r="D14" s="65">
        <f t="shared" si="0"/>
        <v>786</v>
      </c>
      <c r="E14" s="215">
        <f>'2026 НЗ ББА 22.05.2023'!F32</f>
        <v>6904.3300000000008</v>
      </c>
      <c r="F14" s="209">
        <f>'2026 НЗ ББА 22.05.2023'!AE32</f>
        <v>4929.7</v>
      </c>
      <c r="G14" s="209">
        <f>'2026 НЗ ДБА 22.05.2023'!AE32</f>
        <v>10356.5</v>
      </c>
      <c r="H14" s="209">
        <f t="shared" si="1"/>
        <v>5426.8</v>
      </c>
      <c r="I14" s="210">
        <f>'2026 НЗ ББА 22.05.2023'!E33</f>
        <v>28</v>
      </c>
      <c r="J14" s="210">
        <f>'2026 НЗ ДБА 22.05.2023'!E33</f>
        <v>70</v>
      </c>
      <c r="K14" s="210">
        <f t="shared" si="2"/>
        <v>42</v>
      </c>
      <c r="L14" s="61">
        <f>'2026 НЗ ББА 22.05.2023'!F33</f>
        <v>132030.53</v>
      </c>
      <c r="M14" s="209">
        <f>'2026 НЗ ББА 22.05.2023'!AE33</f>
        <v>3696.9</v>
      </c>
      <c r="N14" s="209">
        <f>'2026 НЗ ДБА 22.05.2023'!AE33</f>
        <v>9242.1</v>
      </c>
      <c r="O14" s="196">
        <f t="shared" si="3"/>
        <v>5545.2000000000007</v>
      </c>
      <c r="P14" s="197" t="s">
        <v>76</v>
      </c>
      <c r="Q14" s="197" t="s">
        <v>76</v>
      </c>
      <c r="R14" s="197" t="s">
        <v>76</v>
      </c>
      <c r="S14" s="198" t="s">
        <v>76</v>
      </c>
      <c r="T14" s="196" t="s">
        <v>76</v>
      </c>
      <c r="U14" s="196" t="s">
        <v>76</v>
      </c>
      <c r="V14" s="196" t="s">
        <v>76</v>
      </c>
      <c r="W14" s="213">
        <f>'2026 НЗ ББА 22.05.2023'!AF32</f>
        <v>456.3</v>
      </c>
      <c r="X14" s="214">
        <f t="shared" ref="X14" si="10">F14+M14+W14</f>
        <v>9082.9</v>
      </c>
      <c r="Y14" s="214">
        <f t="shared" si="9"/>
        <v>20054.899999999998</v>
      </c>
      <c r="Z14" s="214">
        <f t="shared" si="8"/>
        <v>10971.999999999998</v>
      </c>
      <c r="AA14"/>
      <c r="AB14"/>
      <c r="AC14" s="108"/>
      <c r="AD14" s="200"/>
    </row>
    <row r="15" spans="1:30" ht="15.75" x14ac:dyDescent="0.25">
      <c r="A15" s="61" t="s">
        <v>58</v>
      </c>
      <c r="B15" s="62" t="s">
        <v>76</v>
      </c>
      <c r="C15" s="62" t="s">
        <v>76</v>
      </c>
      <c r="D15" s="62" t="s">
        <v>76</v>
      </c>
      <c r="E15" s="198" t="s">
        <v>76</v>
      </c>
      <c r="F15" s="199" t="s">
        <v>76</v>
      </c>
      <c r="G15" s="199" t="s">
        <v>76</v>
      </c>
      <c r="H15" s="199" t="s">
        <v>76</v>
      </c>
      <c r="I15" s="64">
        <f>'2026 НЗ ББА 22.05.2023'!E38</f>
        <v>30</v>
      </c>
      <c r="J15" s="64">
        <f>'2026 НЗ ДБА 22.05.2023'!E38</f>
        <v>60</v>
      </c>
      <c r="K15" s="64">
        <f t="shared" si="2"/>
        <v>30</v>
      </c>
      <c r="L15" s="61">
        <f>'2026 НЗ ББА 22.05.2023'!F38</f>
        <v>100539.09</v>
      </c>
      <c r="M15" s="196">
        <f>'2026 НЗ ББА 22.05.2023'!AE38</f>
        <v>3016.2</v>
      </c>
      <c r="N15" s="196">
        <f>'2026 НЗ ДБА 22.05.2023'!AE38</f>
        <v>6032.3</v>
      </c>
      <c r="O15" s="196">
        <f t="shared" si="3"/>
        <v>3016.1000000000004</v>
      </c>
      <c r="P15" s="197" t="s">
        <v>76</v>
      </c>
      <c r="Q15" s="197" t="s">
        <v>76</v>
      </c>
      <c r="R15" s="197" t="s">
        <v>76</v>
      </c>
      <c r="S15" s="198" t="s">
        <v>76</v>
      </c>
      <c r="T15" s="196" t="s">
        <v>76</v>
      </c>
      <c r="U15" s="196" t="s">
        <v>76</v>
      </c>
      <c r="V15" s="196" t="s">
        <v>76</v>
      </c>
      <c r="W15" s="213">
        <f>'2026 НЗ ББА 22.05.2023'!AF38</f>
        <v>166.9</v>
      </c>
      <c r="X15" s="214">
        <f>M15+W15</f>
        <v>3183.1</v>
      </c>
      <c r="Y15" s="214">
        <f>N15+W15</f>
        <v>6199.2</v>
      </c>
      <c r="Z15" s="214">
        <f t="shared" si="8"/>
        <v>3016.1</v>
      </c>
    </row>
    <row r="16" spans="1:30" ht="15.75" x14ac:dyDescent="0.25">
      <c r="A16" s="61" t="s">
        <v>110</v>
      </c>
      <c r="B16" s="62" t="s">
        <v>76</v>
      </c>
      <c r="C16" s="62" t="s">
        <v>76</v>
      </c>
      <c r="D16" s="62" t="s">
        <v>76</v>
      </c>
      <c r="E16" s="198" t="s">
        <v>76</v>
      </c>
      <c r="F16" s="199" t="s">
        <v>76</v>
      </c>
      <c r="G16" s="199" t="s">
        <v>76</v>
      </c>
      <c r="H16" s="199" t="s">
        <v>76</v>
      </c>
      <c r="I16" s="64">
        <f>'2026 НЗ ББА 22.05.2023'!E39</f>
        <v>13</v>
      </c>
      <c r="J16" s="64">
        <f>'2026 НЗ ДБА 22.05.2023'!E39</f>
        <v>55</v>
      </c>
      <c r="K16" s="64">
        <f t="shared" si="2"/>
        <v>42</v>
      </c>
      <c r="L16" s="61">
        <f>'2026 НЗ ББА 22.05.2023'!F39</f>
        <v>108251.54</v>
      </c>
      <c r="M16" s="196">
        <f>'2026 НЗ ББА 22.05.2023'!AE39</f>
        <v>1407.3</v>
      </c>
      <c r="N16" s="196">
        <f>'2026 НЗ ДБА 22.05.2023'!AE39</f>
        <v>5953.8</v>
      </c>
      <c r="O16" s="196">
        <f t="shared" si="3"/>
        <v>4546.5</v>
      </c>
      <c r="P16" s="197" t="s">
        <v>76</v>
      </c>
      <c r="Q16" s="197" t="s">
        <v>76</v>
      </c>
      <c r="R16" s="197" t="s">
        <v>76</v>
      </c>
      <c r="S16" s="198" t="s">
        <v>76</v>
      </c>
      <c r="T16" s="196" t="s">
        <v>76</v>
      </c>
      <c r="U16" s="196" t="s">
        <v>76</v>
      </c>
      <c r="V16" s="196" t="s">
        <v>76</v>
      </c>
      <c r="W16" s="213">
        <f>'2026 НЗ ББА 22.05.2023'!AF39</f>
        <v>167.1</v>
      </c>
      <c r="X16" s="214">
        <f>M16+W16</f>
        <v>1574.3999999999999</v>
      </c>
      <c r="Y16" s="214">
        <f>N16+W16</f>
        <v>6120.9000000000005</v>
      </c>
      <c r="Z16" s="214">
        <f t="shared" si="8"/>
        <v>4546.5000000000009</v>
      </c>
    </row>
    <row r="17" spans="1:33" ht="15.75" x14ac:dyDescent="0.25">
      <c r="A17" s="66" t="s">
        <v>75</v>
      </c>
      <c r="B17" s="67">
        <f>SUM(B5:B16)</f>
        <v>165455</v>
      </c>
      <c r="C17" s="67">
        <f t="shared" ref="C17:D17" si="11">SUM(C5:C16)</f>
        <v>524511</v>
      </c>
      <c r="D17" s="67">
        <f t="shared" si="11"/>
        <v>359056</v>
      </c>
      <c r="E17" s="198" t="s">
        <v>76</v>
      </c>
      <c r="F17" s="202">
        <f>SUM(F5:F16)</f>
        <v>710994.49999999988</v>
      </c>
      <c r="G17" s="202">
        <f t="shared" ref="G17:H17" si="12">SUM(G5:G16)</f>
        <v>2223877.9000000004</v>
      </c>
      <c r="H17" s="202">
        <f t="shared" si="12"/>
        <v>1512883.4000000001</v>
      </c>
      <c r="I17" s="68">
        <f>SUM(I5:I16)</f>
        <v>674</v>
      </c>
      <c r="J17" s="68">
        <f>SUM(J5:J16)</f>
        <v>1389</v>
      </c>
      <c r="K17" s="68">
        <f>SUM(K5:K16)</f>
        <v>715</v>
      </c>
      <c r="L17" s="198" t="s">
        <v>76</v>
      </c>
      <c r="M17" s="202">
        <f>SUM(M5:M16)</f>
        <v>20831.400000000001</v>
      </c>
      <c r="N17" s="202">
        <f t="shared" ref="N17:O17" si="13">SUM(N5:N16)</f>
        <v>47849.900000000009</v>
      </c>
      <c r="O17" s="202">
        <f t="shared" si="13"/>
        <v>27018.5</v>
      </c>
      <c r="P17" s="203">
        <f>SUM(P5:P11)</f>
        <v>38</v>
      </c>
      <c r="Q17" s="203">
        <f t="shared" ref="Q17:R17" si="14">SUM(Q5:Q11)</f>
        <v>47</v>
      </c>
      <c r="R17" s="203">
        <f t="shared" si="14"/>
        <v>9</v>
      </c>
      <c r="S17" s="198" t="s">
        <v>76</v>
      </c>
      <c r="T17" s="202">
        <f>SUM(T5:T16)</f>
        <v>4333.8</v>
      </c>
      <c r="U17" s="202">
        <f t="shared" ref="U17:V17" si="15">SUM(U5:U16)</f>
        <v>5296.2999999999993</v>
      </c>
      <c r="V17" s="202">
        <f t="shared" si="15"/>
        <v>962.5</v>
      </c>
      <c r="W17" s="216">
        <f>SUM(W5:W16)</f>
        <v>4505.7000000000007</v>
      </c>
      <c r="X17" s="214">
        <f>F17+M17+T17+W17</f>
        <v>740665.39999999991</v>
      </c>
      <c r="Y17" s="214">
        <f t="shared" si="7"/>
        <v>2281529.8000000003</v>
      </c>
      <c r="Z17" s="214">
        <f t="shared" si="8"/>
        <v>1540864.4000000004</v>
      </c>
    </row>
    <row r="19" spans="1:33" ht="74.25" customHeight="1" x14ac:dyDescent="0.25">
      <c r="A19" s="294" t="s">
        <v>77</v>
      </c>
      <c r="B19" s="295" t="s">
        <v>61</v>
      </c>
      <c r="C19" s="296"/>
      <c r="D19" s="296"/>
      <c r="E19" s="296"/>
      <c r="F19" s="296"/>
      <c r="G19" s="296"/>
      <c r="H19" s="297"/>
      <c r="I19" s="299" t="s">
        <v>63</v>
      </c>
      <c r="J19" s="300"/>
      <c r="K19" s="300"/>
      <c r="L19" s="300"/>
      <c r="M19" s="300"/>
      <c r="N19" s="300"/>
      <c r="O19" s="301"/>
      <c r="P19" s="266" t="s">
        <v>123</v>
      </c>
      <c r="Q19" s="269" t="s">
        <v>137</v>
      </c>
      <c r="R19" s="269" t="s">
        <v>138</v>
      </c>
      <c r="S19" s="269" t="s">
        <v>126</v>
      </c>
    </row>
    <row r="20" spans="1:33" x14ac:dyDescent="0.25">
      <c r="A20" s="294"/>
      <c r="B20" s="287" t="s">
        <v>116</v>
      </c>
      <c r="C20" s="287" t="s">
        <v>117</v>
      </c>
      <c r="D20" s="287" t="s">
        <v>118</v>
      </c>
      <c r="E20" s="281" t="s">
        <v>81</v>
      </c>
      <c r="F20" s="279" t="s">
        <v>119</v>
      </c>
      <c r="G20" s="279" t="s">
        <v>120</v>
      </c>
      <c r="H20" s="279" t="s">
        <v>121</v>
      </c>
      <c r="I20" s="292" t="s">
        <v>116</v>
      </c>
      <c r="J20" s="292" t="s">
        <v>117</v>
      </c>
      <c r="K20" s="292" t="s">
        <v>118</v>
      </c>
      <c r="L20" s="281" t="s">
        <v>81</v>
      </c>
      <c r="M20" s="279" t="s">
        <v>119</v>
      </c>
      <c r="N20" s="279" t="s">
        <v>120</v>
      </c>
      <c r="O20" s="279" t="s">
        <v>121</v>
      </c>
      <c r="P20" s="267"/>
      <c r="Q20" s="270"/>
      <c r="R20" s="270"/>
      <c r="S20" s="270"/>
    </row>
    <row r="21" spans="1:33" ht="47.25" customHeight="1" x14ac:dyDescent="0.25">
      <c r="A21" s="294"/>
      <c r="B21" s="288"/>
      <c r="C21" s="288"/>
      <c r="D21" s="288"/>
      <c r="E21" s="281"/>
      <c r="F21" s="279"/>
      <c r="G21" s="279"/>
      <c r="H21" s="279"/>
      <c r="I21" s="293"/>
      <c r="J21" s="293"/>
      <c r="K21" s="293"/>
      <c r="L21" s="281"/>
      <c r="M21" s="279"/>
      <c r="N21" s="279"/>
      <c r="O21" s="279"/>
      <c r="P21" s="268"/>
      <c r="Q21" s="271"/>
      <c r="R21" s="271"/>
      <c r="S21" s="271"/>
    </row>
    <row r="22" spans="1:33" s="201" customFormat="1" ht="15.75" x14ac:dyDescent="0.25">
      <c r="A22" s="191" t="s">
        <v>60</v>
      </c>
      <c r="B22" s="65">
        <f>'2026 НЗ ББА 22.05.2023'!E40</f>
        <v>496</v>
      </c>
      <c r="C22" s="65">
        <f>'2026 НЗ ДБА 22.05.2023'!E40</f>
        <v>496</v>
      </c>
      <c r="D22" s="65">
        <f t="shared" ref="D22" si="16">C22-B22</f>
        <v>0</v>
      </c>
      <c r="E22" s="215">
        <f>'2026 НЗ ББА 22.05.2023'!F40</f>
        <v>17583.500000000004</v>
      </c>
      <c r="F22" s="209">
        <f>'2026 НЗ ББА 22.05.2023'!AE40</f>
        <v>8721.4</v>
      </c>
      <c r="G22" s="209">
        <f>'2026 НЗ ДБА 22.05.2023'!AE40</f>
        <v>8721.4</v>
      </c>
      <c r="H22" s="209">
        <f t="shared" ref="H22" si="17">G22-F22</f>
        <v>0</v>
      </c>
      <c r="I22" s="211">
        <f>'2026 НЗ ББА 22.05.2023'!E41+'2026 НЗ ББА 22.05.2023'!E42+'2026 НЗ ББА 22.05.2023'!E43</f>
        <v>4734</v>
      </c>
      <c r="J22" s="211">
        <f>'2026 НЗ ДБА 22.05.2023'!E41+'2026 НЗ ДБА 22.05.2023'!E42+'2026 НЗ ДБА 22.05.2023'!E43</f>
        <v>9880</v>
      </c>
      <c r="K22" s="211">
        <f>J22-I22</f>
        <v>5146</v>
      </c>
      <c r="L22" s="215">
        <f>'2026 НЗ ББА 22.05.2023'!F41</f>
        <v>2356.75</v>
      </c>
      <c r="M22" s="209">
        <f>'2026 НЗ ББА 22.05.2023'!AE41+'2026 НЗ ББА 22.05.2023'!AE42+'2026 НЗ ББА 22.05.2023'!AE43</f>
        <v>11156.8</v>
      </c>
      <c r="N22" s="209">
        <f>'2026 НЗ ДБА 22.05.2023'!AE41+'2026 НЗ ДБА 22.05.2023'!AE42+'2026 НЗ ДБА 22.05.2023'!AE43</f>
        <v>23284.7</v>
      </c>
      <c r="O22" s="209">
        <f>N22-M22</f>
        <v>12127.900000000001</v>
      </c>
      <c r="P22" s="213">
        <f>'2026 НЗ ББА 22.05.2023'!AF40</f>
        <v>19.600000000000001</v>
      </c>
      <c r="Q22" s="212">
        <f>F22+M22+P22</f>
        <v>19897.799999999996</v>
      </c>
      <c r="R22" s="212">
        <f>G22+N22+P22</f>
        <v>32025.699999999997</v>
      </c>
      <c r="S22" s="212">
        <f>R22-Q22</f>
        <v>12127.900000000001</v>
      </c>
      <c r="AA22"/>
      <c r="AB22"/>
    </row>
    <row r="23" spans="1:33" ht="15.75" x14ac:dyDescent="0.25">
      <c r="A23" s="164"/>
      <c r="E23" s="204"/>
    </row>
    <row r="24" spans="1:33" ht="15.75" x14ac:dyDescent="0.25">
      <c r="A24" s="289" t="s">
        <v>77</v>
      </c>
      <c r="B24" s="263" t="s">
        <v>111</v>
      </c>
      <c r="C24" s="264"/>
      <c r="D24" s="265"/>
      <c r="AG24" s="108"/>
    </row>
    <row r="25" spans="1:33" ht="31.5" x14ac:dyDescent="0.25">
      <c r="A25" s="290"/>
      <c r="B25" s="194" t="s">
        <v>80</v>
      </c>
      <c r="C25" s="205" t="s">
        <v>81</v>
      </c>
      <c r="D25" s="195" t="s">
        <v>112</v>
      </c>
    </row>
    <row r="26" spans="1:33" ht="15.75" x14ac:dyDescent="0.25">
      <c r="A26" s="61" t="s">
        <v>113</v>
      </c>
      <c r="B26" s="65">
        <v>6</v>
      </c>
      <c r="C26" s="215">
        <v>8740883.3287297878</v>
      </c>
      <c r="D26" s="209">
        <v>52445.299972378729</v>
      </c>
    </row>
    <row r="27" spans="1:33" ht="15.75" x14ac:dyDescent="0.25">
      <c r="A27" s="206"/>
    </row>
    <row r="28" spans="1:33" ht="31.5" x14ac:dyDescent="0.25">
      <c r="A28" s="291" t="s">
        <v>114</v>
      </c>
      <c r="B28" s="291"/>
      <c r="C28" s="207" t="s">
        <v>115</v>
      </c>
    </row>
    <row r="29" spans="1:33" ht="31.5" customHeight="1" x14ac:dyDescent="0.25">
      <c r="A29" s="285" t="s">
        <v>139</v>
      </c>
      <c r="B29" s="285"/>
      <c r="C29" s="202">
        <f>X17+Q22</f>
        <v>760563.19999999995</v>
      </c>
      <c r="E29" s="200"/>
      <c r="F29" s="200"/>
    </row>
    <row r="30" spans="1:33" ht="31.5" customHeight="1" x14ac:dyDescent="0.25">
      <c r="A30" s="285" t="s">
        <v>140</v>
      </c>
      <c r="B30" s="285"/>
      <c r="C30" s="202">
        <f>Y17+R22</f>
        <v>2313555.5000000005</v>
      </c>
      <c r="E30" s="200"/>
      <c r="F30" s="200"/>
    </row>
    <row r="31" spans="1:33" ht="30" customHeight="1" x14ac:dyDescent="0.25">
      <c r="A31" s="285" t="s">
        <v>141</v>
      </c>
      <c r="B31" s="285"/>
      <c r="C31" s="202">
        <f>D26</f>
        <v>52445.299972378729</v>
      </c>
    </row>
    <row r="32" spans="1:33" ht="15.75" x14ac:dyDescent="0.25">
      <c r="A32" s="285" t="s">
        <v>130</v>
      </c>
      <c r="B32" s="285"/>
      <c r="C32" s="202">
        <f>C29+C31</f>
        <v>813008.49997237872</v>
      </c>
    </row>
    <row r="33" spans="1:35" ht="15.75" x14ac:dyDescent="0.25">
      <c r="A33" s="285" t="s">
        <v>131</v>
      </c>
      <c r="B33" s="285"/>
      <c r="C33" s="202">
        <f>C30+C31</f>
        <v>2366000.7999723791</v>
      </c>
    </row>
    <row r="44" spans="1:35" x14ac:dyDescent="0.25">
      <c r="AH44">
        <f>SUM(AH11:AH43)</f>
        <v>0</v>
      </c>
      <c r="AI44">
        <f>AH44-AG44</f>
        <v>0</v>
      </c>
    </row>
  </sheetData>
  <mergeCells count="59">
    <mergeCell ref="A32:B32"/>
    <mergeCell ref="A33:B33"/>
    <mergeCell ref="S19:S21"/>
    <mergeCell ref="C20:C21"/>
    <mergeCell ref="D20:D21"/>
    <mergeCell ref="G20:G21"/>
    <mergeCell ref="H20:H21"/>
    <mergeCell ref="J20:J21"/>
    <mergeCell ref="K20:K21"/>
    <mergeCell ref="N20:N21"/>
    <mergeCell ref="O20:O21"/>
    <mergeCell ref="B20:B21"/>
    <mergeCell ref="E20:E21"/>
    <mergeCell ref="F20:F21"/>
    <mergeCell ref="I20:I21"/>
    <mergeCell ref="A19:A21"/>
    <mergeCell ref="A2:A4"/>
    <mergeCell ref="B2:H2"/>
    <mergeCell ref="I2:O2"/>
    <mergeCell ref="Z2:Z4"/>
    <mergeCell ref="B3:B4"/>
    <mergeCell ref="C3:C4"/>
    <mergeCell ref="P3:P4"/>
    <mergeCell ref="Q3:Q4"/>
    <mergeCell ref="R3:R4"/>
    <mergeCell ref="S3:S4"/>
    <mergeCell ref="T3:T4"/>
    <mergeCell ref="U3:U4"/>
    <mergeCell ref="V3:V4"/>
    <mergeCell ref="B19:H19"/>
    <mergeCell ref="I19:O19"/>
    <mergeCell ref="A1:Z1"/>
    <mergeCell ref="W2:W4"/>
    <mergeCell ref="X2:X4"/>
    <mergeCell ref="Y2:Y4"/>
    <mergeCell ref="O3:O4"/>
    <mergeCell ref="D3:D4"/>
    <mergeCell ref="E3:E4"/>
    <mergeCell ref="F3:F4"/>
    <mergeCell ref="G3:G4"/>
    <mergeCell ref="H3:H4"/>
    <mergeCell ref="I3:I4"/>
    <mergeCell ref="J3:J4"/>
    <mergeCell ref="K3:K4"/>
    <mergeCell ref="P19:P21"/>
    <mergeCell ref="A30:B30"/>
    <mergeCell ref="A31:B31"/>
    <mergeCell ref="A24:A25"/>
    <mergeCell ref="A28:B28"/>
    <mergeCell ref="A29:B29"/>
    <mergeCell ref="B24:D24"/>
    <mergeCell ref="Q19:Q21"/>
    <mergeCell ref="R19:R21"/>
    <mergeCell ref="P2:V2"/>
    <mergeCell ref="L20:L21"/>
    <mergeCell ref="M20:M21"/>
    <mergeCell ref="L3:L4"/>
    <mergeCell ref="M3:M4"/>
    <mergeCell ref="N3:N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7"/>
  <sheetViews>
    <sheetView view="pageBreakPreview" topLeftCell="E1" zoomScale="55" zoomScaleNormal="40" zoomScaleSheetLayoutView="55" workbookViewId="0">
      <selection activeCell="F35" sqref="A1:XFD1048576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3.5703125" style="1" customWidth="1"/>
    <col min="9" max="9" width="22.710937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.285156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6.8554687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04" t="s">
        <v>153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</row>
    <row r="3" spans="1:31" ht="15.75" customHeight="1" x14ac:dyDescent="0.25">
      <c r="A3" s="247" t="s">
        <v>0</v>
      </c>
      <c r="B3" s="243" t="s">
        <v>1</v>
      </c>
      <c r="C3" s="248" t="s">
        <v>2</v>
      </c>
      <c r="D3" s="248"/>
      <c r="E3" s="231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5</v>
      </c>
    </row>
    <row r="4" spans="1:31" ht="15.75" customHeight="1" x14ac:dyDescent="0.25">
      <c r="A4" s="238"/>
      <c r="B4" s="242"/>
      <c r="C4" s="249" t="s">
        <v>7</v>
      </c>
      <c r="D4" s="249" t="s">
        <v>8</v>
      </c>
      <c r="E4" s="303" t="s">
        <v>144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</row>
    <row r="5" spans="1:31" ht="15.75" x14ac:dyDescent="0.25">
      <c r="A5" s="238"/>
      <c r="B5" s="242"/>
      <c r="C5" s="249"/>
      <c r="D5" s="249"/>
      <c r="E5" s="303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</row>
    <row r="6" spans="1:31" ht="15.75" x14ac:dyDescent="0.25">
      <c r="A6" s="238"/>
      <c r="B6" s="242"/>
      <c r="C6" s="249"/>
      <c r="D6" s="249"/>
      <c r="E6" s="303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</row>
    <row r="7" spans="1:31" ht="66" customHeight="1" x14ac:dyDescent="0.25">
      <c r="A7" s="238"/>
      <c r="B7" s="242"/>
      <c r="C7" s="249"/>
      <c r="D7" s="249"/>
      <c r="E7" s="303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</row>
    <row r="8" spans="1:31" ht="15.75" x14ac:dyDescent="0.25">
      <c r="A8" s="238"/>
      <c r="B8" s="242"/>
      <c r="C8" s="249"/>
      <c r="D8" s="249"/>
      <c r="E8" s="303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</row>
    <row r="9" spans="1:31" ht="136.5" customHeight="1" x14ac:dyDescent="0.25">
      <c r="A9" s="238"/>
      <c r="B9" s="242"/>
      <c r="C9" s="249"/>
      <c r="D9" s="249"/>
      <c r="E9" s="303"/>
      <c r="F9" s="246"/>
      <c r="G9" s="246"/>
      <c r="H9" s="242"/>
      <c r="I9" s="242"/>
      <c r="J9" s="242"/>
      <c r="K9" s="242"/>
      <c r="L9" s="242"/>
      <c r="M9" s="246"/>
      <c r="N9" s="229" t="s">
        <v>33</v>
      </c>
      <c r="O9" s="229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</row>
    <row r="10" spans="1:31" ht="15.75" x14ac:dyDescent="0.25">
      <c r="A10" s="230">
        <v>1</v>
      </c>
      <c r="B10" s="235">
        <v>2</v>
      </c>
      <c r="C10" s="232">
        <v>3</v>
      </c>
      <c r="D10" s="235">
        <v>4</v>
      </c>
      <c r="E10" s="232"/>
      <c r="F10" s="235">
        <v>6</v>
      </c>
      <c r="G10" s="232">
        <v>7</v>
      </c>
      <c r="H10" s="235">
        <v>8</v>
      </c>
      <c r="I10" s="232">
        <v>9</v>
      </c>
      <c r="J10" s="235">
        <v>10</v>
      </c>
      <c r="K10" s="232">
        <v>11</v>
      </c>
      <c r="L10" s="235">
        <v>12</v>
      </c>
      <c r="M10" s="232">
        <v>13</v>
      </c>
      <c r="N10" s="229">
        <v>14</v>
      </c>
      <c r="O10" s="235">
        <v>15</v>
      </c>
      <c r="P10" s="235">
        <f>O10+1</f>
        <v>16</v>
      </c>
      <c r="Q10" s="235">
        <f t="shared" ref="Q10:AD10" si="0">P10+1</f>
        <v>17</v>
      </c>
      <c r="R10" s="235">
        <f t="shared" si="0"/>
        <v>18</v>
      </c>
      <c r="S10" s="235">
        <f t="shared" si="0"/>
        <v>19</v>
      </c>
      <c r="T10" s="235">
        <f t="shared" si="0"/>
        <v>20</v>
      </c>
      <c r="U10" s="235">
        <f t="shared" si="0"/>
        <v>21</v>
      </c>
      <c r="V10" s="235">
        <f t="shared" si="0"/>
        <v>22</v>
      </c>
      <c r="W10" s="235">
        <f t="shared" si="0"/>
        <v>23</v>
      </c>
      <c r="X10" s="235">
        <f t="shared" si="0"/>
        <v>24</v>
      </c>
      <c r="Y10" s="235">
        <f t="shared" si="0"/>
        <v>25</v>
      </c>
      <c r="Z10" s="235">
        <f t="shared" si="0"/>
        <v>26</v>
      </c>
      <c r="AA10" s="235">
        <f t="shared" si="0"/>
        <v>27</v>
      </c>
      <c r="AB10" s="235">
        <f t="shared" si="0"/>
        <v>28</v>
      </c>
      <c r="AC10" s="235">
        <f t="shared" si="0"/>
        <v>29</v>
      </c>
      <c r="AD10" s="235">
        <f t="shared" si="0"/>
        <v>30</v>
      </c>
      <c r="AE10" s="235">
        <f>AD10+1</f>
        <v>31</v>
      </c>
    </row>
    <row r="11" spans="1:31" ht="25.5" x14ac:dyDescent="0.35">
      <c r="A11" s="305" t="s">
        <v>72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</row>
    <row r="12" spans="1:31" ht="78.75" x14ac:dyDescent="0.25">
      <c r="A12" s="23" t="s">
        <v>35</v>
      </c>
      <c r="B12" s="17" t="s">
        <v>36</v>
      </c>
      <c r="C12" s="17" t="s">
        <v>37</v>
      </c>
      <c r="D12" s="18" t="s">
        <v>38</v>
      </c>
      <c r="E12" s="19">
        <v>1</v>
      </c>
      <c r="F12" s="20">
        <f>SUM(G12,M12,Q12,R12,S12,T12,V12,W12,X12,AD12,P12,U12)</f>
        <v>4052.0199999999995</v>
      </c>
      <c r="G12" s="20">
        <f t="shared" ref="G12:G14" si="1">SUM(H12:L12)</f>
        <v>1772.32</v>
      </c>
      <c r="H12" s="20">
        <v>1361.23</v>
      </c>
      <c r="I12" s="20">
        <v>0</v>
      </c>
      <c r="J12" s="20">
        <v>0</v>
      </c>
      <c r="K12" s="20">
        <f t="shared" ref="K12:K14" si="2">ROUND(H12*0.302,2)</f>
        <v>411.09</v>
      </c>
      <c r="L12" s="20"/>
      <c r="M12" s="20">
        <v>201.6</v>
      </c>
      <c r="N12" s="20">
        <v>0</v>
      </c>
      <c r="O12" s="20">
        <v>63.32</v>
      </c>
      <c r="P12" s="20">
        <v>0</v>
      </c>
      <c r="Q12" s="20">
        <v>1.03</v>
      </c>
      <c r="R12" s="20">
        <v>195.09</v>
      </c>
      <c r="S12" s="20">
        <v>88.74</v>
      </c>
      <c r="T12" s="20">
        <f>466.4-76.52</f>
        <v>389.88</v>
      </c>
      <c r="U12" s="20">
        <v>0</v>
      </c>
      <c r="V12" s="20">
        <v>17.91</v>
      </c>
      <c r="W12" s="20">
        <v>0</v>
      </c>
      <c r="X12" s="20">
        <f t="shared" ref="X12:X14" si="3">SUM(Y12:AC12)</f>
        <v>1313.7</v>
      </c>
      <c r="Y12" s="20">
        <v>1008.99</v>
      </c>
      <c r="Z12" s="20">
        <v>0</v>
      </c>
      <c r="AA12" s="20">
        <v>0</v>
      </c>
      <c r="AB12" s="20">
        <f t="shared" ref="AB12:AB14" si="4">ROUND(Y12*0.302,2)</f>
        <v>304.70999999999998</v>
      </c>
      <c r="AC12" s="20">
        <v>0</v>
      </c>
      <c r="AD12" s="20">
        <f>62.36+9.39</f>
        <v>71.75</v>
      </c>
      <c r="AE12" s="306">
        <f>260.9-18.1</f>
        <v>242.79999999999998</v>
      </c>
    </row>
    <row r="13" spans="1:31" ht="63" x14ac:dyDescent="0.25">
      <c r="A13" s="23" t="s">
        <v>35</v>
      </c>
      <c r="B13" s="17" t="s">
        <v>39</v>
      </c>
      <c r="C13" s="17" t="s">
        <v>40</v>
      </c>
      <c r="D13" s="18" t="s">
        <v>38</v>
      </c>
      <c r="E13" s="19">
        <v>1</v>
      </c>
      <c r="F13" s="20">
        <f t="shared" ref="F13:F14" si="5">SUM(G13,M13,Q13,R13,S13,T13,V13,W13,X13,AD13,P13,U13)</f>
        <v>32537.690000000006</v>
      </c>
      <c r="G13" s="20">
        <f t="shared" si="1"/>
        <v>28315.190000000002</v>
      </c>
      <c r="H13" s="20">
        <f>21755.99-8.53</f>
        <v>21747.460000000003</v>
      </c>
      <c r="I13" s="20">
        <v>0</v>
      </c>
      <c r="J13" s="20">
        <v>0</v>
      </c>
      <c r="K13" s="20">
        <f t="shared" si="2"/>
        <v>6567.73</v>
      </c>
      <c r="L13" s="20"/>
      <c r="M13" s="20">
        <v>239.46</v>
      </c>
      <c r="N13" s="20">
        <v>0</v>
      </c>
      <c r="O13" s="20">
        <v>38.11</v>
      </c>
      <c r="P13" s="20">
        <v>0</v>
      </c>
      <c r="Q13" s="20">
        <v>53.04</v>
      </c>
      <c r="R13" s="20">
        <f>116.46-2.5</f>
        <v>113.96</v>
      </c>
      <c r="S13" s="20">
        <v>540.13</v>
      </c>
      <c r="T13" s="20">
        <f>226.11+1.75</f>
        <v>227.86</v>
      </c>
      <c r="U13" s="20">
        <v>0</v>
      </c>
      <c r="V13" s="20">
        <v>12.63</v>
      </c>
      <c r="W13" s="20">
        <v>0</v>
      </c>
      <c r="X13" s="20">
        <f t="shared" si="3"/>
        <v>2485.36</v>
      </c>
      <c r="Y13" s="20">
        <v>1908.88</v>
      </c>
      <c r="Z13" s="20">
        <v>0</v>
      </c>
      <c r="AA13" s="20">
        <v>0</v>
      </c>
      <c r="AB13" s="20">
        <f t="shared" si="4"/>
        <v>576.48</v>
      </c>
      <c r="AC13" s="20">
        <v>0</v>
      </c>
      <c r="AD13" s="20">
        <v>550.05999999999995</v>
      </c>
      <c r="AE13" s="307"/>
    </row>
    <row r="14" spans="1:31" ht="45" x14ac:dyDescent="0.25">
      <c r="A14" s="23" t="s">
        <v>35</v>
      </c>
      <c r="B14" s="17" t="s">
        <v>155</v>
      </c>
      <c r="C14" s="218" t="s">
        <v>42</v>
      </c>
      <c r="D14" s="18" t="s">
        <v>38</v>
      </c>
      <c r="E14" s="19">
        <v>1</v>
      </c>
      <c r="F14" s="20">
        <f t="shared" si="5"/>
        <v>41127.419999999991</v>
      </c>
      <c r="G14" s="20">
        <f t="shared" si="1"/>
        <v>0</v>
      </c>
      <c r="H14" s="20">
        <v>0</v>
      </c>
      <c r="I14" s="20">
        <v>0</v>
      </c>
      <c r="J14" s="20">
        <v>0</v>
      </c>
      <c r="K14" s="20">
        <f t="shared" si="2"/>
        <v>0</v>
      </c>
      <c r="L14" s="20"/>
      <c r="M14" s="20">
        <v>880.7</v>
      </c>
      <c r="N14" s="20">
        <v>0</v>
      </c>
      <c r="O14" s="20">
        <v>80.180000000000007</v>
      </c>
      <c r="P14" s="20">
        <v>0</v>
      </c>
      <c r="Q14" s="20">
        <v>11936.42</v>
      </c>
      <c r="R14" s="20">
        <v>0</v>
      </c>
      <c r="S14" s="20">
        <v>1177.6500000000001</v>
      </c>
      <c r="T14" s="20">
        <v>13781.9</v>
      </c>
      <c r="U14" s="20">
        <v>0</v>
      </c>
      <c r="V14" s="20">
        <v>64.709999999999994</v>
      </c>
      <c r="W14" s="20">
        <v>0</v>
      </c>
      <c r="X14" s="20">
        <f t="shared" si="3"/>
        <v>10715.02</v>
      </c>
      <c r="Y14" s="20">
        <v>8229.66</v>
      </c>
      <c r="Z14" s="20">
        <v>0</v>
      </c>
      <c r="AA14" s="20">
        <v>0</v>
      </c>
      <c r="AB14" s="20">
        <f t="shared" si="4"/>
        <v>2485.36</v>
      </c>
      <c r="AC14" s="20">
        <v>0</v>
      </c>
      <c r="AD14" s="20">
        <v>2571.02</v>
      </c>
      <c r="AE14" s="308"/>
    </row>
    <row r="15" spans="1:31" ht="25.5" x14ac:dyDescent="0.35">
      <c r="A15" s="305" t="s">
        <v>86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</row>
    <row r="16" spans="1:31" ht="78.75" x14ac:dyDescent="0.25">
      <c r="A16" s="23" t="s">
        <v>35</v>
      </c>
      <c r="B16" s="17" t="s">
        <v>49</v>
      </c>
      <c r="C16" s="17" t="s">
        <v>37</v>
      </c>
      <c r="D16" s="18" t="s">
        <v>38</v>
      </c>
      <c r="E16" s="19">
        <v>1</v>
      </c>
      <c r="F16" s="20">
        <f t="shared" ref="F16:F18" si="6">SUM(G16,M16,Q16,R16,S16,T16,V16,W16,X16,AD16,P16,U16)</f>
        <v>4184.28</v>
      </c>
      <c r="G16" s="20">
        <f t="shared" ref="G16:G18" si="7">SUM(H16:L16)</f>
        <v>1797.49</v>
      </c>
      <c r="H16" s="20">
        <f>1382.22-1.66</f>
        <v>1380.56</v>
      </c>
      <c r="I16" s="20">
        <v>0</v>
      </c>
      <c r="J16" s="20">
        <v>0</v>
      </c>
      <c r="K16" s="20">
        <f t="shared" ref="K16:K18" si="8">ROUND(H16*0.302,2)</f>
        <v>416.93</v>
      </c>
      <c r="L16" s="20"/>
      <c r="M16" s="20">
        <v>209.66</v>
      </c>
      <c r="N16" s="20">
        <v>0</v>
      </c>
      <c r="O16" s="20">
        <v>65.849999999999994</v>
      </c>
      <c r="P16" s="20">
        <v>0</v>
      </c>
      <c r="Q16" s="20">
        <v>1.07</v>
      </c>
      <c r="R16" s="20">
        <v>197.05</v>
      </c>
      <c r="S16" s="20">
        <v>92.28</v>
      </c>
      <c r="T16" s="20">
        <f>485.06-57.57</f>
        <v>427.49</v>
      </c>
      <c r="U16" s="20">
        <v>0</v>
      </c>
      <c r="V16" s="20">
        <v>18.63</v>
      </c>
      <c r="W16" s="20">
        <v>0</v>
      </c>
      <c r="X16" s="20">
        <f t="shared" ref="X16:X18" si="9">SUM(Y16:AC16)</f>
        <v>1366.25</v>
      </c>
      <c r="Y16" s="20">
        <v>1049.3499999999999</v>
      </c>
      <c r="Z16" s="20">
        <v>0</v>
      </c>
      <c r="AA16" s="20">
        <v>0</v>
      </c>
      <c r="AB16" s="20">
        <f t="shared" ref="AB16:AB18" si="10">ROUND(Y16*0.302,2)</f>
        <v>316.89999999999998</v>
      </c>
      <c r="AC16" s="20">
        <v>0</v>
      </c>
      <c r="AD16" s="20">
        <f>64.85+9.51</f>
        <v>74.36</v>
      </c>
      <c r="AE16" s="306">
        <f>260.9+0.2</f>
        <v>261.09999999999997</v>
      </c>
    </row>
    <row r="17" spans="1:31" ht="63" x14ac:dyDescent="0.25">
      <c r="A17" s="23" t="s">
        <v>35</v>
      </c>
      <c r="B17" s="17" t="s">
        <v>50</v>
      </c>
      <c r="C17" s="17" t="s">
        <v>40</v>
      </c>
      <c r="D17" s="18" t="s">
        <v>38</v>
      </c>
      <c r="E17" s="19">
        <v>1</v>
      </c>
      <c r="F17" s="20">
        <f t="shared" si="6"/>
        <v>33361.67</v>
      </c>
      <c r="G17" s="20">
        <f t="shared" si="7"/>
        <v>28971.229999999996</v>
      </c>
      <c r="H17" s="20">
        <f>22250.55+0.78</f>
        <v>22251.329999999998</v>
      </c>
      <c r="I17" s="20">
        <v>0</v>
      </c>
      <c r="J17" s="20">
        <v>0</v>
      </c>
      <c r="K17" s="20">
        <f t="shared" si="8"/>
        <v>6719.9</v>
      </c>
      <c r="L17" s="20"/>
      <c r="M17" s="20">
        <v>249.04</v>
      </c>
      <c r="N17" s="20">
        <v>0</v>
      </c>
      <c r="O17" s="20">
        <v>39.630000000000003</v>
      </c>
      <c r="P17" s="20">
        <v>0</v>
      </c>
      <c r="Q17" s="20">
        <v>55.16</v>
      </c>
      <c r="R17" s="20">
        <v>117.62</v>
      </c>
      <c r="S17" s="20">
        <v>561.74</v>
      </c>
      <c r="T17" s="20">
        <v>235.15</v>
      </c>
      <c r="U17" s="20">
        <v>0</v>
      </c>
      <c r="V17" s="20">
        <v>13.14</v>
      </c>
      <c r="W17" s="20">
        <v>0</v>
      </c>
      <c r="X17" s="20">
        <f t="shared" si="9"/>
        <v>2584.7799999999997</v>
      </c>
      <c r="Y17" s="20">
        <v>1985.24</v>
      </c>
      <c r="Z17" s="20">
        <v>0</v>
      </c>
      <c r="AA17" s="20">
        <v>0</v>
      </c>
      <c r="AB17" s="20">
        <f t="shared" si="10"/>
        <v>599.54</v>
      </c>
      <c r="AC17" s="20">
        <v>0</v>
      </c>
      <c r="AD17" s="20">
        <v>573.80999999999995</v>
      </c>
      <c r="AE17" s="307"/>
    </row>
    <row r="18" spans="1:31" ht="47.25" x14ac:dyDescent="0.25">
      <c r="A18" s="219" t="s">
        <v>35</v>
      </c>
      <c r="B18" s="220" t="s">
        <v>41</v>
      </c>
      <c r="C18" s="17" t="s">
        <v>42</v>
      </c>
      <c r="D18" s="221" t="s">
        <v>38</v>
      </c>
      <c r="E18" s="19">
        <v>1</v>
      </c>
      <c r="F18" s="20">
        <f t="shared" si="6"/>
        <v>124361.13</v>
      </c>
      <c r="G18" s="20">
        <f t="shared" si="7"/>
        <v>81124.14</v>
      </c>
      <c r="H18" s="20">
        <v>62307.33</v>
      </c>
      <c r="I18" s="20">
        <v>0</v>
      </c>
      <c r="J18" s="20">
        <v>0</v>
      </c>
      <c r="K18" s="20">
        <f t="shared" si="8"/>
        <v>18816.810000000001</v>
      </c>
      <c r="L18" s="20"/>
      <c r="M18" s="20">
        <v>915.93</v>
      </c>
      <c r="N18" s="20">
        <v>0</v>
      </c>
      <c r="O18" s="20">
        <v>83.39</v>
      </c>
      <c r="P18" s="20">
        <v>0</v>
      </c>
      <c r="Q18" s="20">
        <v>12413.88</v>
      </c>
      <c r="R18" s="20">
        <v>464.46</v>
      </c>
      <c r="S18" s="20">
        <v>1224.76</v>
      </c>
      <c r="T18" s="20">
        <v>14333.18</v>
      </c>
      <c r="U18" s="20">
        <v>0</v>
      </c>
      <c r="V18" s="20">
        <v>67.3</v>
      </c>
      <c r="W18" s="20">
        <v>0</v>
      </c>
      <c r="X18" s="20">
        <f t="shared" si="9"/>
        <v>11143.62</v>
      </c>
      <c r="Y18" s="20">
        <v>8558.85</v>
      </c>
      <c r="Z18" s="20">
        <v>0</v>
      </c>
      <c r="AA18" s="20">
        <v>0</v>
      </c>
      <c r="AB18" s="20">
        <f t="shared" si="10"/>
        <v>2584.77</v>
      </c>
      <c r="AC18" s="20">
        <v>0</v>
      </c>
      <c r="AD18" s="20">
        <v>2673.86</v>
      </c>
      <c r="AE18" s="308"/>
    </row>
    <row r="19" spans="1:31" ht="25.5" x14ac:dyDescent="0.35">
      <c r="A19" s="305" t="s">
        <v>154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</row>
    <row r="20" spans="1:31" ht="78.75" x14ac:dyDescent="0.25">
      <c r="A20" s="236" t="s">
        <v>35</v>
      </c>
      <c r="B20" s="17" t="s">
        <v>49</v>
      </c>
      <c r="C20" s="235" t="s">
        <v>37</v>
      </c>
      <c r="D20" s="232" t="s">
        <v>38</v>
      </c>
      <c r="E20" s="19">
        <v>1</v>
      </c>
      <c r="F20" s="20">
        <f t="shared" ref="F20:F22" si="11">SUM(G20,M20,Q20,R20,S20,T20,V20,W20,X20,AD20,P20,U20)</f>
        <v>4183.7700000000004</v>
      </c>
      <c r="G20" s="20">
        <f t="shared" ref="G20:G22" si="12">SUM(H20:L20)</f>
        <v>1815.5900000000001</v>
      </c>
      <c r="H20" s="20">
        <f>1392.48+1.98</f>
        <v>1394.46</v>
      </c>
      <c r="I20" s="20">
        <v>0</v>
      </c>
      <c r="J20" s="20">
        <v>0</v>
      </c>
      <c r="K20" s="20">
        <f t="shared" ref="K20:K22" si="13">ROUND(H20*0.302,2)</f>
        <v>421.13</v>
      </c>
      <c r="L20" s="20"/>
      <c r="M20" s="20">
        <v>209.66</v>
      </c>
      <c r="N20" s="20">
        <v>0</v>
      </c>
      <c r="O20" s="20">
        <v>65.849999999999994</v>
      </c>
      <c r="P20" s="20">
        <v>0</v>
      </c>
      <c r="Q20" s="20">
        <v>1.07</v>
      </c>
      <c r="R20" s="20">
        <v>197.05</v>
      </c>
      <c r="S20" s="20">
        <v>92.28</v>
      </c>
      <c r="T20" s="20">
        <f>485.06-76.18</f>
        <v>408.88</v>
      </c>
      <c r="U20" s="20">
        <v>0</v>
      </c>
      <c r="V20" s="20">
        <v>18.63</v>
      </c>
      <c r="W20" s="20">
        <v>0</v>
      </c>
      <c r="X20" s="20">
        <f t="shared" ref="X20:X22" si="14">SUM(Y20:AC20)</f>
        <v>1366.25</v>
      </c>
      <c r="Y20" s="20">
        <v>1049.3499999999999</v>
      </c>
      <c r="Z20" s="20">
        <v>0</v>
      </c>
      <c r="AA20" s="20">
        <v>0</v>
      </c>
      <c r="AB20" s="20">
        <f t="shared" ref="AB20:AB22" si="15">ROUND(Y20*0.302,2)</f>
        <v>316.89999999999998</v>
      </c>
      <c r="AC20" s="20">
        <v>0</v>
      </c>
      <c r="AD20" s="20">
        <v>74.36</v>
      </c>
      <c r="AE20" s="306">
        <f>260.9+0.1</f>
        <v>261</v>
      </c>
    </row>
    <row r="21" spans="1:31" ht="63" x14ac:dyDescent="0.25">
      <c r="A21" s="236" t="s">
        <v>35</v>
      </c>
      <c r="B21" s="17" t="s">
        <v>50</v>
      </c>
      <c r="C21" s="235" t="s">
        <v>40</v>
      </c>
      <c r="D21" s="232" t="s">
        <v>38</v>
      </c>
      <c r="E21" s="19">
        <v>1</v>
      </c>
      <c r="F21" s="20">
        <f t="shared" si="11"/>
        <v>33575.730000000003</v>
      </c>
      <c r="G21" s="20">
        <f t="shared" si="12"/>
        <v>29185.29</v>
      </c>
      <c r="H21" s="20">
        <f>22415.83-0.09</f>
        <v>22415.74</v>
      </c>
      <c r="I21" s="20">
        <v>0</v>
      </c>
      <c r="J21" s="20">
        <v>0</v>
      </c>
      <c r="K21" s="20">
        <f t="shared" si="13"/>
        <v>6769.55</v>
      </c>
      <c r="L21" s="20"/>
      <c r="M21" s="20">
        <v>249.04</v>
      </c>
      <c r="N21" s="20">
        <v>0</v>
      </c>
      <c r="O21" s="20">
        <v>39.630000000000003</v>
      </c>
      <c r="P21" s="20">
        <v>0</v>
      </c>
      <c r="Q21" s="20">
        <v>55.16</v>
      </c>
      <c r="R21" s="20">
        <v>117.62</v>
      </c>
      <c r="S21" s="20">
        <v>561.74</v>
      </c>
      <c r="T21" s="20">
        <v>235.15</v>
      </c>
      <c r="U21" s="20">
        <v>0</v>
      </c>
      <c r="V21" s="20">
        <v>13.14</v>
      </c>
      <c r="W21" s="20">
        <v>0</v>
      </c>
      <c r="X21" s="20">
        <f t="shared" si="14"/>
        <v>2584.7799999999997</v>
      </c>
      <c r="Y21" s="20">
        <v>1985.24</v>
      </c>
      <c r="Z21" s="20">
        <v>0</v>
      </c>
      <c r="AA21" s="20">
        <v>0</v>
      </c>
      <c r="AB21" s="20">
        <f t="shared" si="15"/>
        <v>599.54</v>
      </c>
      <c r="AC21" s="20">
        <v>0</v>
      </c>
      <c r="AD21" s="20">
        <v>573.80999999999995</v>
      </c>
      <c r="AE21" s="307"/>
    </row>
    <row r="22" spans="1:31" ht="47.25" x14ac:dyDescent="0.25">
      <c r="A22" s="236" t="s">
        <v>35</v>
      </c>
      <c r="B22" s="235" t="s">
        <v>41</v>
      </c>
      <c r="C22" s="17" t="s">
        <v>42</v>
      </c>
      <c r="D22" s="232" t="s">
        <v>38</v>
      </c>
      <c r="E22" s="19">
        <v>1</v>
      </c>
      <c r="F22" s="20">
        <f t="shared" si="11"/>
        <v>124963.73000000001</v>
      </c>
      <c r="G22" s="20">
        <f t="shared" si="12"/>
        <v>81726.740000000005</v>
      </c>
      <c r="H22" s="20">
        <v>62770.15</v>
      </c>
      <c r="I22" s="20">
        <v>0</v>
      </c>
      <c r="J22" s="20">
        <v>0</v>
      </c>
      <c r="K22" s="20">
        <f t="shared" si="13"/>
        <v>18956.59</v>
      </c>
      <c r="L22" s="20"/>
      <c r="M22" s="20">
        <v>915.93</v>
      </c>
      <c r="N22" s="20">
        <v>0</v>
      </c>
      <c r="O22" s="20">
        <v>83.39</v>
      </c>
      <c r="P22" s="20">
        <v>0</v>
      </c>
      <c r="Q22" s="20">
        <v>12413.88</v>
      </c>
      <c r="R22" s="20">
        <v>464.46</v>
      </c>
      <c r="S22" s="20">
        <v>1224.76</v>
      </c>
      <c r="T22" s="20">
        <v>14333.18</v>
      </c>
      <c r="U22" s="20">
        <v>0</v>
      </c>
      <c r="V22" s="20">
        <v>67.3</v>
      </c>
      <c r="W22" s="20">
        <v>0</v>
      </c>
      <c r="X22" s="20">
        <f t="shared" si="14"/>
        <v>11143.62</v>
      </c>
      <c r="Y22" s="20">
        <v>8558.85</v>
      </c>
      <c r="Z22" s="20">
        <v>0</v>
      </c>
      <c r="AA22" s="20">
        <v>0</v>
      </c>
      <c r="AB22" s="20">
        <f t="shared" si="15"/>
        <v>2584.77</v>
      </c>
      <c r="AC22" s="20">
        <v>0</v>
      </c>
      <c r="AD22" s="20">
        <v>2673.86</v>
      </c>
      <c r="AE22" s="309"/>
    </row>
    <row r="24" spans="1:31" ht="57.75" customHeight="1" x14ac:dyDescent="0.25">
      <c r="A24" s="304" t="s">
        <v>158</v>
      </c>
      <c r="B24" s="304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</row>
    <row r="26" spans="1:31" ht="15.75" customHeight="1" x14ac:dyDescent="0.25">
      <c r="A26" s="238" t="s">
        <v>0</v>
      </c>
      <c r="B26" s="242" t="s">
        <v>1</v>
      </c>
      <c r="C26" s="303" t="s">
        <v>2</v>
      </c>
      <c r="D26" s="303"/>
      <c r="E26" s="303"/>
      <c r="F26" s="242" t="s">
        <v>3</v>
      </c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</row>
    <row r="27" spans="1:31" ht="15.75" x14ac:dyDescent="0.25">
      <c r="A27" s="238"/>
      <c r="B27" s="242"/>
      <c r="C27" s="249" t="s">
        <v>7</v>
      </c>
      <c r="D27" s="249" t="s">
        <v>8</v>
      </c>
      <c r="E27" s="303" t="s">
        <v>144</v>
      </c>
      <c r="F27" s="246" t="s">
        <v>10</v>
      </c>
      <c r="G27" s="250" t="s">
        <v>11</v>
      </c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</row>
    <row r="28" spans="1:31" ht="15.75" x14ac:dyDescent="0.25">
      <c r="A28" s="238"/>
      <c r="B28" s="242"/>
      <c r="C28" s="249"/>
      <c r="D28" s="249"/>
      <c r="E28" s="303"/>
      <c r="F28" s="246"/>
      <c r="G28" s="242" t="s">
        <v>12</v>
      </c>
      <c r="H28" s="242"/>
      <c r="I28" s="242"/>
      <c r="J28" s="242"/>
      <c r="K28" s="242"/>
      <c r="L28" s="242"/>
      <c r="M28" s="242" t="s">
        <v>13</v>
      </c>
      <c r="N28" s="242"/>
      <c r="O28" s="242"/>
      <c r="P28" s="242" t="s">
        <v>14</v>
      </c>
      <c r="Q28" s="242" t="s">
        <v>15</v>
      </c>
      <c r="R28" s="242" t="s">
        <v>16</v>
      </c>
      <c r="S28" s="242" t="s">
        <v>17</v>
      </c>
      <c r="T28" s="242" t="s">
        <v>18</v>
      </c>
      <c r="U28" s="242" t="s">
        <v>19</v>
      </c>
      <c r="V28" s="242" t="s">
        <v>20</v>
      </c>
      <c r="W28" s="242" t="s">
        <v>21</v>
      </c>
      <c r="X28" s="242" t="s">
        <v>22</v>
      </c>
      <c r="Y28" s="242"/>
      <c r="Z28" s="242"/>
      <c r="AA28" s="242"/>
      <c r="AB28" s="242"/>
      <c r="AC28" s="242"/>
      <c r="AD28" s="242" t="s">
        <v>23</v>
      </c>
    </row>
    <row r="29" spans="1:31" ht="15.75" x14ac:dyDescent="0.25">
      <c r="A29" s="238"/>
      <c r="B29" s="242"/>
      <c r="C29" s="249"/>
      <c r="D29" s="249"/>
      <c r="E29" s="303"/>
      <c r="F29" s="246"/>
      <c r="G29" s="246" t="s">
        <v>24</v>
      </c>
      <c r="H29" s="242" t="s">
        <v>11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6" t="s">
        <v>25</v>
      </c>
      <c r="Y29" s="242" t="s">
        <v>11</v>
      </c>
      <c r="Z29" s="242"/>
      <c r="AA29" s="242"/>
      <c r="AB29" s="242"/>
      <c r="AC29" s="242"/>
      <c r="AD29" s="242"/>
    </row>
    <row r="30" spans="1:31" ht="69" customHeight="1" x14ac:dyDescent="0.25">
      <c r="A30" s="238"/>
      <c r="B30" s="242"/>
      <c r="C30" s="249"/>
      <c r="D30" s="249"/>
      <c r="E30" s="303"/>
      <c r="F30" s="246"/>
      <c r="G30" s="246"/>
      <c r="H30" s="242" t="s">
        <v>26</v>
      </c>
      <c r="I30" s="242" t="s">
        <v>27</v>
      </c>
      <c r="J30" s="242" t="s">
        <v>28</v>
      </c>
      <c r="K30" s="242" t="s">
        <v>29</v>
      </c>
      <c r="L30" s="242" t="s">
        <v>30</v>
      </c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6"/>
      <c r="Y30" s="242" t="s">
        <v>26</v>
      </c>
      <c r="Z30" s="242" t="s">
        <v>27</v>
      </c>
      <c r="AA30" s="242" t="s">
        <v>28</v>
      </c>
      <c r="AB30" s="242" t="s">
        <v>29</v>
      </c>
      <c r="AC30" s="242" t="s">
        <v>30</v>
      </c>
      <c r="AD30" s="242"/>
    </row>
    <row r="31" spans="1:31" ht="15.75" x14ac:dyDescent="0.25">
      <c r="A31" s="238"/>
      <c r="B31" s="242"/>
      <c r="C31" s="249"/>
      <c r="D31" s="249"/>
      <c r="E31" s="303"/>
      <c r="F31" s="246"/>
      <c r="G31" s="246"/>
      <c r="H31" s="242"/>
      <c r="I31" s="242"/>
      <c r="J31" s="242"/>
      <c r="K31" s="242"/>
      <c r="L31" s="242"/>
      <c r="M31" s="246" t="s">
        <v>31</v>
      </c>
      <c r="N31" s="242" t="s">
        <v>32</v>
      </c>
      <c r="O31" s="242"/>
      <c r="P31" s="242"/>
      <c r="Q31" s="242"/>
      <c r="R31" s="242"/>
      <c r="S31" s="242"/>
      <c r="T31" s="242"/>
      <c r="U31" s="242"/>
      <c r="V31" s="242"/>
      <c r="W31" s="242"/>
      <c r="X31" s="246"/>
      <c r="Y31" s="242"/>
      <c r="Z31" s="242"/>
      <c r="AA31" s="242"/>
      <c r="AB31" s="242"/>
      <c r="AC31" s="242"/>
      <c r="AD31" s="242"/>
    </row>
    <row r="32" spans="1:31" ht="131.25" customHeight="1" x14ac:dyDescent="0.25">
      <c r="A32" s="238"/>
      <c r="B32" s="242"/>
      <c r="C32" s="249"/>
      <c r="D32" s="249"/>
      <c r="E32" s="303"/>
      <c r="F32" s="246"/>
      <c r="G32" s="246"/>
      <c r="H32" s="242"/>
      <c r="I32" s="242"/>
      <c r="J32" s="242"/>
      <c r="K32" s="242"/>
      <c r="L32" s="242"/>
      <c r="M32" s="246"/>
      <c r="N32" s="229" t="s">
        <v>33</v>
      </c>
      <c r="O32" s="229" t="s">
        <v>34</v>
      </c>
      <c r="P32" s="242"/>
      <c r="Q32" s="242"/>
      <c r="R32" s="242"/>
      <c r="S32" s="242"/>
      <c r="T32" s="242"/>
      <c r="U32" s="242"/>
      <c r="V32" s="242"/>
      <c r="W32" s="242"/>
      <c r="X32" s="246"/>
      <c r="Y32" s="242"/>
      <c r="Z32" s="242"/>
      <c r="AA32" s="242"/>
      <c r="AB32" s="242"/>
      <c r="AC32" s="242"/>
      <c r="AD32" s="242"/>
    </row>
    <row r="33" spans="1:31" ht="15.75" x14ac:dyDescent="0.25">
      <c r="A33" s="230">
        <v>1</v>
      </c>
      <c r="B33" s="235">
        <v>2</v>
      </c>
      <c r="C33" s="232">
        <v>3</v>
      </c>
      <c r="D33" s="235">
        <v>4</v>
      </c>
      <c r="E33" s="232">
        <v>5</v>
      </c>
      <c r="F33" s="235">
        <v>6</v>
      </c>
      <c r="G33" s="232">
        <v>7</v>
      </c>
      <c r="H33" s="235">
        <v>8</v>
      </c>
      <c r="I33" s="232">
        <v>9</v>
      </c>
      <c r="J33" s="235">
        <v>10</v>
      </c>
      <c r="K33" s="232">
        <v>11</v>
      </c>
      <c r="L33" s="235">
        <v>12</v>
      </c>
      <c r="M33" s="232">
        <v>13</v>
      </c>
      <c r="N33" s="235">
        <v>14</v>
      </c>
      <c r="O33" s="232">
        <v>15</v>
      </c>
      <c r="P33" s="235">
        <v>16</v>
      </c>
      <c r="Q33" s="232">
        <v>17</v>
      </c>
      <c r="R33" s="235">
        <v>18</v>
      </c>
      <c r="S33" s="232">
        <v>19</v>
      </c>
      <c r="T33" s="235">
        <v>20</v>
      </c>
      <c r="U33" s="232">
        <v>21</v>
      </c>
      <c r="V33" s="235">
        <v>22</v>
      </c>
      <c r="W33" s="232">
        <v>23</v>
      </c>
      <c r="X33" s="235">
        <v>24</v>
      </c>
      <c r="Y33" s="232">
        <v>25</v>
      </c>
      <c r="Z33" s="235">
        <v>26</v>
      </c>
      <c r="AA33" s="232">
        <v>27</v>
      </c>
      <c r="AB33" s="235">
        <v>28</v>
      </c>
      <c r="AC33" s="232">
        <v>29</v>
      </c>
      <c r="AD33" s="235">
        <v>30</v>
      </c>
    </row>
    <row r="34" spans="1:31" ht="25.5" x14ac:dyDescent="0.35">
      <c r="A34" s="305" t="s">
        <v>72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</row>
    <row r="35" spans="1:31" ht="47.25" x14ac:dyDescent="0.25">
      <c r="A35" s="115" t="s">
        <v>35</v>
      </c>
      <c r="B35" s="17" t="s">
        <v>142</v>
      </c>
      <c r="C35" s="17" t="s">
        <v>143</v>
      </c>
      <c r="D35" s="18" t="s">
        <v>38</v>
      </c>
      <c r="E35" s="19">
        <v>1</v>
      </c>
      <c r="F35" s="20">
        <f>SUM(G35,M35,Q35,R35,S35,T35,V35,W35,X35,AD35,P35,U35)</f>
        <v>2926132.9599999995</v>
      </c>
      <c r="G35" s="20">
        <f t="shared" ref="G35" si="16">SUM(H35:L35)</f>
        <v>1229561.7600000002</v>
      </c>
      <c r="H35" s="22">
        <v>944363.87000000023</v>
      </c>
      <c r="I35" s="20">
        <v>0</v>
      </c>
      <c r="J35" s="20">
        <v>0</v>
      </c>
      <c r="K35" s="20">
        <f t="shared" ref="K35" si="17">ROUND(H35*0.302,2)</f>
        <v>285197.89</v>
      </c>
      <c r="L35" s="20">
        <v>0</v>
      </c>
      <c r="M35" s="20">
        <v>147619.9</v>
      </c>
      <c r="N35" s="20">
        <v>0</v>
      </c>
      <c r="O35" s="20">
        <v>45359.1</v>
      </c>
      <c r="P35" s="20">
        <v>0</v>
      </c>
      <c r="Q35" s="20">
        <v>787.9</v>
      </c>
      <c r="R35" s="20">
        <v>142049.68</v>
      </c>
      <c r="S35" s="20">
        <v>64042.7</v>
      </c>
      <c r="T35" s="20">
        <v>340492.7</v>
      </c>
      <c r="U35" s="20">
        <v>0</v>
      </c>
      <c r="V35" s="20">
        <v>12831.7</v>
      </c>
      <c r="W35" s="20">
        <v>0</v>
      </c>
      <c r="X35" s="20">
        <f>SUM(Y35:AC35)</f>
        <v>942775.34000000008</v>
      </c>
      <c r="Y35" s="20">
        <v>724097.8</v>
      </c>
      <c r="Z35" s="20">
        <v>0</v>
      </c>
      <c r="AA35" s="20">
        <v>0</v>
      </c>
      <c r="AB35" s="20">
        <f>ROUND(Y35*0.302,2)</f>
        <v>218677.54</v>
      </c>
      <c r="AC35" s="20">
        <v>0</v>
      </c>
      <c r="AD35" s="20">
        <f>45971.28</f>
        <v>45971.28</v>
      </c>
    </row>
    <row r="36" spans="1:31" ht="25.5" x14ac:dyDescent="0.35">
      <c r="A36" s="305" t="s">
        <v>86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</row>
    <row r="37" spans="1:31" ht="47.25" x14ac:dyDescent="0.25">
      <c r="A37" s="115" t="s">
        <v>35</v>
      </c>
      <c r="B37" s="17" t="s">
        <v>142</v>
      </c>
      <c r="C37" s="17" t="s">
        <v>143</v>
      </c>
      <c r="D37" s="18" t="s">
        <v>38</v>
      </c>
      <c r="E37" s="19">
        <v>1</v>
      </c>
      <c r="F37" s="20">
        <v>2909326.9999999995</v>
      </c>
      <c r="G37" s="20">
        <v>1214412.3799999999</v>
      </c>
      <c r="H37" s="22">
        <v>932728.4</v>
      </c>
      <c r="I37" s="20">
        <v>0</v>
      </c>
      <c r="J37" s="20">
        <v>0</v>
      </c>
      <c r="K37" s="20">
        <v>281683.98</v>
      </c>
      <c r="L37" s="20">
        <v>0</v>
      </c>
      <c r="M37" s="20">
        <v>147619.9</v>
      </c>
      <c r="N37" s="20">
        <v>0</v>
      </c>
      <c r="O37" s="20">
        <v>45359.1</v>
      </c>
      <c r="P37" s="20">
        <v>0</v>
      </c>
      <c r="Q37" s="20">
        <v>787.9</v>
      </c>
      <c r="R37" s="20">
        <v>140394.1</v>
      </c>
      <c r="S37" s="20">
        <v>64042.7</v>
      </c>
      <c r="T37" s="20">
        <v>340492.7</v>
      </c>
      <c r="U37" s="20">
        <v>0</v>
      </c>
      <c r="V37" s="20">
        <v>12831.7</v>
      </c>
      <c r="W37" s="20">
        <v>0</v>
      </c>
      <c r="X37" s="20">
        <v>942775.34000000008</v>
      </c>
      <c r="Y37" s="20">
        <v>724097.8</v>
      </c>
      <c r="Z37" s="20">
        <v>0</v>
      </c>
      <c r="AA37" s="20">
        <v>0</v>
      </c>
      <c r="AB37" s="20">
        <v>218677.54</v>
      </c>
      <c r="AC37" s="20">
        <v>0</v>
      </c>
      <c r="AD37" s="20">
        <v>45970.28</v>
      </c>
    </row>
  </sheetData>
  <mergeCells count="85">
    <mergeCell ref="A34:AE34"/>
    <mergeCell ref="A36:AE36"/>
    <mergeCell ref="AE12:AE14"/>
    <mergeCell ref="AE16:AE18"/>
    <mergeCell ref="AE20:AE22"/>
    <mergeCell ref="AB30:AB32"/>
    <mergeCell ref="AC30:AC32"/>
    <mergeCell ref="M31:M32"/>
    <mergeCell ref="N31:O31"/>
    <mergeCell ref="Z30:Z32"/>
    <mergeCell ref="T28:T32"/>
    <mergeCell ref="AD28:AD32"/>
    <mergeCell ref="G29:G32"/>
    <mergeCell ref="H29:L29"/>
    <mergeCell ref="X29:X32"/>
    <mergeCell ref="Y29:AC29"/>
    <mergeCell ref="H30:H32"/>
    <mergeCell ref="I30:I32"/>
    <mergeCell ref="J30:J32"/>
    <mergeCell ref="K30:K32"/>
    <mergeCell ref="L30:L32"/>
    <mergeCell ref="Y30:Y32"/>
    <mergeCell ref="U28:U32"/>
    <mergeCell ref="V28:V32"/>
    <mergeCell ref="W28:W32"/>
    <mergeCell ref="X28:AC28"/>
    <mergeCell ref="AA30:AA32"/>
    <mergeCell ref="A24:AE24"/>
    <mergeCell ref="A26:A32"/>
    <mergeCell ref="B26:B32"/>
    <mergeCell ref="C26:E26"/>
    <mergeCell ref="F26:AD26"/>
    <mergeCell ref="C27:C32"/>
    <mergeCell ref="D27:D32"/>
    <mergeCell ref="E27:E32"/>
    <mergeCell ref="F27:F32"/>
    <mergeCell ref="G27:AD27"/>
    <mergeCell ref="G28:L28"/>
    <mergeCell ref="M28:O30"/>
    <mergeCell ref="P28:P32"/>
    <mergeCell ref="Q28:Q32"/>
    <mergeCell ref="R28:R32"/>
    <mergeCell ref="S28:S32"/>
    <mergeCell ref="A11:AE11"/>
    <mergeCell ref="A15:AE15"/>
    <mergeCell ref="A19:AE19"/>
    <mergeCell ref="I7:I9"/>
    <mergeCell ref="J7:J9"/>
    <mergeCell ref="K7:K9"/>
    <mergeCell ref="R5:R9"/>
    <mergeCell ref="S5:S9"/>
    <mergeCell ref="T5:T9"/>
    <mergeCell ref="U5:U9"/>
    <mergeCell ref="V5:V9"/>
    <mergeCell ref="W5:W9"/>
    <mergeCell ref="AE3:AE9"/>
    <mergeCell ref="A3:A9"/>
    <mergeCell ref="B3:B9"/>
    <mergeCell ref="C3:D3"/>
    <mergeCell ref="A1:AE1"/>
    <mergeCell ref="L7:L9"/>
    <mergeCell ref="Y7:Y9"/>
    <mergeCell ref="Z7:Z9"/>
    <mergeCell ref="AA7:AA9"/>
    <mergeCell ref="AB7:AB9"/>
    <mergeCell ref="AC7:AC9"/>
    <mergeCell ref="M8:M9"/>
    <mergeCell ref="N8:O8"/>
    <mergeCell ref="X5:AC5"/>
    <mergeCell ref="AD5:AD9"/>
    <mergeCell ref="G6:G9"/>
    <mergeCell ref="H6:L6"/>
    <mergeCell ref="X6:X9"/>
    <mergeCell ref="Y6:AC6"/>
    <mergeCell ref="H7:H9"/>
    <mergeCell ref="F3:AD3"/>
    <mergeCell ref="M5:O7"/>
    <mergeCell ref="P5:P9"/>
    <mergeCell ref="Q5:Q9"/>
    <mergeCell ref="C4:C9"/>
    <mergeCell ref="D4:D9"/>
    <mergeCell ref="E4:E9"/>
    <mergeCell ref="F4:F9"/>
    <mergeCell ref="G4:AD4"/>
    <mergeCell ref="G5:L5"/>
  </mergeCells>
  <pageMargins left="0.25" right="0.25" top="0.75" bottom="0.75" header="0.3" footer="0.3"/>
  <pageSetup paperSize="9" scale="2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7"/>
  <sheetViews>
    <sheetView view="pageBreakPreview" zoomScale="55" zoomScaleNormal="55" zoomScaleSheetLayoutView="55" workbookViewId="0">
      <selection activeCell="F35" sqref="A1:XFD1048576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2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7.57031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5703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04" t="s">
        <v>156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</row>
    <row r="3" spans="1:31" ht="15.75" customHeight="1" x14ac:dyDescent="0.25">
      <c r="A3" s="247" t="s">
        <v>0</v>
      </c>
      <c r="B3" s="243" t="s">
        <v>1</v>
      </c>
      <c r="C3" s="248" t="s">
        <v>2</v>
      </c>
      <c r="D3" s="248"/>
      <c r="E3" s="231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5</v>
      </c>
    </row>
    <row r="4" spans="1:31" ht="15.75" customHeight="1" x14ac:dyDescent="0.25">
      <c r="A4" s="238"/>
      <c r="B4" s="242"/>
      <c r="C4" s="249" t="s">
        <v>7</v>
      </c>
      <c r="D4" s="310" t="s">
        <v>8</v>
      </c>
      <c r="E4" s="303" t="s">
        <v>144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</row>
    <row r="5" spans="1:31" ht="15.75" x14ac:dyDescent="0.25">
      <c r="A5" s="238"/>
      <c r="B5" s="242"/>
      <c r="C5" s="249"/>
      <c r="D5" s="311"/>
      <c r="E5" s="303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</row>
    <row r="6" spans="1:31" ht="15.75" x14ac:dyDescent="0.25">
      <c r="A6" s="238"/>
      <c r="B6" s="242"/>
      <c r="C6" s="249"/>
      <c r="D6" s="311"/>
      <c r="E6" s="303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</row>
    <row r="7" spans="1:31" ht="64.5" customHeight="1" x14ac:dyDescent="0.25">
      <c r="A7" s="238"/>
      <c r="B7" s="242"/>
      <c r="C7" s="249"/>
      <c r="D7" s="311"/>
      <c r="E7" s="303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</row>
    <row r="8" spans="1:31" ht="15.75" x14ac:dyDescent="0.25">
      <c r="A8" s="238"/>
      <c r="B8" s="242"/>
      <c r="C8" s="249"/>
      <c r="D8" s="311"/>
      <c r="E8" s="303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</row>
    <row r="9" spans="1:31" ht="102" customHeight="1" x14ac:dyDescent="0.25">
      <c r="A9" s="238"/>
      <c r="B9" s="242"/>
      <c r="C9" s="249"/>
      <c r="D9" s="312"/>
      <c r="E9" s="303"/>
      <c r="F9" s="246"/>
      <c r="G9" s="246"/>
      <c r="H9" s="242"/>
      <c r="I9" s="242"/>
      <c r="J9" s="242"/>
      <c r="K9" s="242"/>
      <c r="L9" s="242"/>
      <c r="M9" s="246"/>
      <c r="N9" s="229" t="s">
        <v>33</v>
      </c>
      <c r="O9" s="229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</row>
    <row r="10" spans="1:31" ht="15.75" x14ac:dyDescent="0.25">
      <c r="A10" s="230">
        <v>1</v>
      </c>
      <c r="B10" s="235">
        <v>2</v>
      </c>
      <c r="C10" s="232">
        <v>3</v>
      </c>
      <c r="D10" s="235">
        <v>4</v>
      </c>
      <c r="E10" s="232"/>
      <c r="F10" s="235">
        <v>6</v>
      </c>
      <c r="G10" s="232">
        <v>7</v>
      </c>
      <c r="H10" s="235">
        <v>8</v>
      </c>
      <c r="I10" s="232">
        <v>9</v>
      </c>
      <c r="J10" s="235">
        <v>10</v>
      </c>
      <c r="K10" s="232">
        <v>11</v>
      </c>
      <c r="L10" s="235">
        <v>12</v>
      </c>
      <c r="M10" s="232">
        <v>13</v>
      </c>
      <c r="N10" s="229">
        <v>14</v>
      </c>
      <c r="O10" s="235">
        <v>15</v>
      </c>
      <c r="P10" s="235">
        <f>O10+1</f>
        <v>16</v>
      </c>
      <c r="Q10" s="235">
        <f t="shared" ref="Q10:AD10" si="0">P10+1</f>
        <v>17</v>
      </c>
      <c r="R10" s="235">
        <f t="shared" si="0"/>
        <v>18</v>
      </c>
      <c r="S10" s="235">
        <f t="shared" si="0"/>
        <v>19</v>
      </c>
      <c r="T10" s="235">
        <f t="shared" si="0"/>
        <v>20</v>
      </c>
      <c r="U10" s="235">
        <f t="shared" si="0"/>
        <v>21</v>
      </c>
      <c r="V10" s="235">
        <f t="shared" si="0"/>
        <v>22</v>
      </c>
      <c r="W10" s="235">
        <f t="shared" si="0"/>
        <v>23</v>
      </c>
      <c r="X10" s="235">
        <f t="shared" si="0"/>
        <v>24</v>
      </c>
      <c r="Y10" s="235">
        <f t="shared" si="0"/>
        <v>25</v>
      </c>
      <c r="Z10" s="235">
        <f t="shared" si="0"/>
        <v>26</v>
      </c>
      <c r="AA10" s="235">
        <f t="shared" si="0"/>
        <v>27</v>
      </c>
      <c r="AB10" s="235">
        <f t="shared" si="0"/>
        <v>28</v>
      </c>
      <c r="AC10" s="235">
        <f t="shared" si="0"/>
        <v>29</v>
      </c>
      <c r="AD10" s="235">
        <f t="shared" si="0"/>
        <v>30</v>
      </c>
      <c r="AE10" s="235">
        <f>AD10+1</f>
        <v>31</v>
      </c>
    </row>
    <row r="11" spans="1:31" ht="25.5" x14ac:dyDescent="0.35">
      <c r="A11" s="305" t="s">
        <v>72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</row>
    <row r="12" spans="1:31" ht="78.75" x14ac:dyDescent="0.25">
      <c r="A12" s="23" t="s">
        <v>43</v>
      </c>
      <c r="B12" s="17" t="s">
        <v>49</v>
      </c>
      <c r="C12" s="17" t="s">
        <v>37</v>
      </c>
      <c r="D12" s="17" t="s">
        <v>38</v>
      </c>
      <c r="E12" s="19">
        <v>1</v>
      </c>
      <c r="F12" s="20">
        <f t="shared" ref="F12:F14" si="1">SUM(G12,M12,Q12,R12,S12,T12,V12,W12,X12,AD12,P12,U12)</f>
        <v>4295.1400000000003</v>
      </c>
      <c r="G12" s="20">
        <f t="shared" ref="G12:G14" si="2">SUM(H12:L12)</f>
        <v>2151.2600000000002</v>
      </c>
      <c r="H12" s="20">
        <v>1652.27</v>
      </c>
      <c r="I12" s="25">
        <v>0</v>
      </c>
      <c r="J12" s="20">
        <v>0</v>
      </c>
      <c r="K12" s="20">
        <f t="shared" ref="K12:K14" si="3">ROUND(H12*0.302,2)</f>
        <v>498.99</v>
      </c>
      <c r="L12" s="20"/>
      <c r="M12" s="25">
        <v>212.17</v>
      </c>
      <c r="N12" s="25">
        <v>37.39</v>
      </c>
      <c r="O12" s="25">
        <v>3.99</v>
      </c>
      <c r="P12" s="25">
        <v>0</v>
      </c>
      <c r="Q12" s="25">
        <v>172.17</v>
      </c>
      <c r="R12" s="20">
        <v>194.27</v>
      </c>
      <c r="S12" s="25">
        <v>112.84</v>
      </c>
      <c r="T12" s="20">
        <v>90.43</v>
      </c>
      <c r="U12" s="20">
        <v>0</v>
      </c>
      <c r="V12" s="25">
        <v>19.2</v>
      </c>
      <c r="W12" s="20">
        <v>0</v>
      </c>
      <c r="X12" s="20">
        <f t="shared" ref="X12:X14" si="4">SUM(Y12:AC12)</f>
        <v>1173.43</v>
      </c>
      <c r="Y12" s="27">
        <v>901.25</v>
      </c>
      <c r="Z12" s="25">
        <v>0</v>
      </c>
      <c r="AA12" s="20">
        <v>0</v>
      </c>
      <c r="AB12" s="20">
        <f t="shared" ref="AB12:AB14" si="5">ROUND(Y12*0.302,2)</f>
        <v>272.18</v>
      </c>
      <c r="AC12" s="25">
        <v>0</v>
      </c>
      <c r="AD12" s="25">
        <f>162.75+6.62</f>
        <v>169.37</v>
      </c>
      <c r="AE12" s="25">
        <v>166.3</v>
      </c>
    </row>
    <row r="13" spans="1:31" ht="63" x14ac:dyDescent="0.25">
      <c r="A13" s="23" t="s">
        <v>43</v>
      </c>
      <c r="B13" s="17" t="s">
        <v>50</v>
      </c>
      <c r="C13" s="17" t="s">
        <v>40</v>
      </c>
      <c r="D13" s="17" t="s">
        <v>38</v>
      </c>
      <c r="E13" s="19">
        <v>1</v>
      </c>
      <c r="F13" s="20">
        <f t="shared" si="1"/>
        <v>33654.490000000005</v>
      </c>
      <c r="G13" s="20">
        <f t="shared" si="2"/>
        <v>13600.52</v>
      </c>
      <c r="H13" s="20">
        <v>10445.870000000001</v>
      </c>
      <c r="I13" s="25">
        <v>0</v>
      </c>
      <c r="J13" s="20">
        <v>0</v>
      </c>
      <c r="K13" s="20">
        <f t="shared" si="3"/>
        <v>3154.65</v>
      </c>
      <c r="L13" s="20"/>
      <c r="M13" s="25">
        <v>218.19</v>
      </c>
      <c r="N13" s="25">
        <v>0</v>
      </c>
      <c r="O13" s="25">
        <v>4.24</v>
      </c>
      <c r="P13" s="25">
        <v>0</v>
      </c>
      <c r="Q13" s="25">
        <v>1974.63</v>
      </c>
      <c r="R13" s="20">
        <v>91.63</v>
      </c>
      <c r="S13" s="25">
        <v>25.95</v>
      </c>
      <c r="T13" s="20">
        <v>0</v>
      </c>
      <c r="U13" s="20">
        <v>0</v>
      </c>
      <c r="V13" s="25">
        <v>19.11</v>
      </c>
      <c r="W13" s="20">
        <v>16037.95</v>
      </c>
      <c r="X13" s="20">
        <f t="shared" si="4"/>
        <v>1609.26</v>
      </c>
      <c r="Y13" s="27">
        <v>1235.99</v>
      </c>
      <c r="Z13" s="25">
        <v>0</v>
      </c>
      <c r="AA13" s="20">
        <v>0</v>
      </c>
      <c r="AB13" s="20">
        <f t="shared" si="5"/>
        <v>373.27</v>
      </c>
      <c r="AC13" s="25">
        <v>0</v>
      </c>
      <c r="AD13" s="25">
        <v>77.25</v>
      </c>
      <c r="AE13" s="25"/>
    </row>
    <row r="14" spans="1:31" ht="47.25" x14ac:dyDescent="0.25">
      <c r="A14" s="23" t="s">
        <v>43</v>
      </c>
      <c r="B14" s="17" t="s">
        <v>41</v>
      </c>
      <c r="C14" s="17" t="s">
        <v>42</v>
      </c>
      <c r="D14" s="17" t="s">
        <v>38</v>
      </c>
      <c r="E14" s="19">
        <v>1</v>
      </c>
      <c r="F14" s="20">
        <f t="shared" si="1"/>
        <v>43707.979999999996</v>
      </c>
      <c r="G14" s="20">
        <f t="shared" si="2"/>
        <v>0</v>
      </c>
      <c r="H14" s="20">
        <v>0</v>
      </c>
      <c r="I14" s="25">
        <v>0</v>
      </c>
      <c r="J14" s="20">
        <v>0</v>
      </c>
      <c r="K14" s="20">
        <f t="shared" si="3"/>
        <v>0</v>
      </c>
      <c r="L14" s="20"/>
      <c r="M14" s="25">
        <v>29189.200000000001</v>
      </c>
      <c r="N14" s="25">
        <v>0</v>
      </c>
      <c r="O14" s="25">
        <v>26435.22</v>
      </c>
      <c r="P14" s="25">
        <v>0</v>
      </c>
      <c r="Q14" s="25">
        <v>5500</v>
      </c>
      <c r="R14" s="20">
        <v>0</v>
      </c>
      <c r="S14" s="25">
        <v>176.83</v>
      </c>
      <c r="T14" s="20">
        <v>0</v>
      </c>
      <c r="U14" s="20">
        <v>0</v>
      </c>
      <c r="V14" s="25">
        <v>23.67</v>
      </c>
      <c r="W14" s="20">
        <v>0</v>
      </c>
      <c r="X14" s="20">
        <f t="shared" si="4"/>
        <v>7859.18</v>
      </c>
      <c r="Y14" s="27">
        <v>6036.24</v>
      </c>
      <c r="Z14" s="25">
        <v>0</v>
      </c>
      <c r="AA14" s="20">
        <v>0</v>
      </c>
      <c r="AB14" s="20">
        <f t="shared" si="5"/>
        <v>1822.94</v>
      </c>
      <c r="AC14" s="25">
        <v>0</v>
      </c>
      <c r="AD14" s="25">
        <v>959.1</v>
      </c>
      <c r="AE14" s="25">
        <v>0</v>
      </c>
    </row>
    <row r="15" spans="1:31" ht="25.5" x14ac:dyDescent="0.35">
      <c r="A15" s="305" t="s">
        <v>86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</row>
    <row r="16" spans="1:31" ht="78.75" x14ac:dyDescent="0.25">
      <c r="A16" s="23" t="s">
        <v>43</v>
      </c>
      <c r="B16" s="17" t="s">
        <v>49</v>
      </c>
      <c r="C16" s="17" t="s">
        <v>37</v>
      </c>
      <c r="D16" s="17" t="s">
        <v>38</v>
      </c>
      <c r="E16" s="19">
        <v>1</v>
      </c>
      <c r="F16" s="20">
        <f t="shared" ref="F16:F18" si="6">SUM(G16,M16,Q16,R16,S16,T16,V16,W16,X16,AD16,P16,U16)</f>
        <v>4393.2400000000007</v>
      </c>
      <c r="G16" s="20">
        <f t="shared" ref="G16:G18" si="7">SUM(H16:L16)</f>
        <v>2172.62</v>
      </c>
      <c r="H16" s="20">
        <v>1668.68</v>
      </c>
      <c r="I16" s="25">
        <v>0</v>
      </c>
      <c r="J16" s="20">
        <v>0</v>
      </c>
      <c r="K16" s="20">
        <f t="shared" ref="K16:K18" si="8">ROUND(H16*0.302,2)</f>
        <v>503.94</v>
      </c>
      <c r="L16" s="20"/>
      <c r="M16" s="25">
        <v>224.09</v>
      </c>
      <c r="N16" s="25">
        <v>51.61</v>
      </c>
      <c r="O16" s="25">
        <v>4.07</v>
      </c>
      <c r="P16" s="25">
        <v>0</v>
      </c>
      <c r="Q16" s="25">
        <v>177.34</v>
      </c>
      <c r="R16" s="20">
        <f>282.4-69.77</f>
        <v>212.63</v>
      </c>
      <c r="S16" s="25">
        <v>116.23</v>
      </c>
      <c r="T16" s="20">
        <v>93.14</v>
      </c>
      <c r="U16" s="20">
        <v>0</v>
      </c>
      <c r="V16" s="25">
        <v>19.78</v>
      </c>
      <c r="W16" s="20">
        <v>0</v>
      </c>
      <c r="X16" s="20">
        <f t="shared" ref="X16:X18" si="9">SUM(Y16:AC16)</f>
        <v>1207.27</v>
      </c>
      <c r="Y16" s="27">
        <v>927.24</v>
      </c>
      <c r="Z16" s="25">
        <v>0</v>
      </c>
      <c r="AA16" s="20">
        <v>0</v>
      </c>
      <c r="AB16" s="20">
        <f t="shared" ref="AB16:AB18" si="10">ROUND(Y16*0.302,2)</f>
        <v>280.02999999999997</v>
      </c>
      <c r="AC16" s="25">
        <v>0</v>
      </c>
      <c r="AD16" s="25">
        <f>163.65+6.49</f>
        <v>170.14000000000001</v>
      </c>
      <c r="AE16" s="25">
        <v>166.3</v>
      </c>
    </row>
    <row r="17" spans="1:31" ht="63" x14ac:dyDescent="0.25">
      <c r="A17" s="23" t="s">
        <v>43</v>
      </c>
      <c r="B17" s="17" t="s">
        <v>50</v>
      </c>
      <c r="C17" s="17" t="s">
        <v>40</v>
      </c>
      <c r="D17" s="17" t="s">
        <v>38</v>
      </c>
      <c r="E17" s="19">
        <v>1</v>
      </c>
      <c r="F17" s="20">
        <f t="shared" si="6"/>
        <v>33806.06</v>
      </c>
      <c r="G17" s="20">
        <f t="shared" si="7"/>
        <v>13374.119999999999</v>
      </c>
      <c r="H17" s="20">
        <v>10271.98</v>
      </c>
      <c r="I17" s="25">
        <v>0</v>
      </c>
      <c r="J17" s="20">
        <v>0</v>
      </c>
      <c r="K17" s="20">
        <f t="shared" si="8"/>
        <v>3102.14</v>
      </c>
      <c r="L17" s="20"/>
      <c r="M17" s="25">
        <v>243.86</v>
      </c>
      <c r="N17" s="25">
        <v>0</v>
      </c>
      <c r="O17" s="25">
        <v>4.33</v>
      </c>
      <c r="P17" s="25">
        <v>0</v>
      </c>
      <c r="Q17" s="25">
        <v>1988.67</v>
      </c>
      <c r="R17" s="20">
        <v>91.66</v>
      </c>
      <c r="S17" s="25">
        <v>26.73</v>
      </c>
      <c r="T17" s="20">
        <v>0</v>
      </c>
      <c r="U17" s="20">
        <v>0</v>
      </c>
      <c r="V17" s="25">
        <v>19.68</v>
      </c>
      <c r="W17" s="20">
        <v>16046.22</v>
      </c>
      <c r="X17" s="20">
        <f t="shared" si="9"/>
        <v>1935.55</v>
      </c>
      <c r="Y17" s="27">
        <v>1486.6</v>
      </c>
      <c r="Z17" s="25">
        <v>0</v>
      </c>
      <c r="AA17" s="20">
        <v>0</v>
      </c>
      <c r="AB17" s="20">
        <f t="shared" si="10"/>
        <v>448.95</v>
      </c>
      <c r="AC17" s="25">
        <v>0</v>
      </c>
      <c r="AD17" s="25">
        <v>79.569999999999993</v>
      </c>
      <c r="AE17" s="25">
        <v>0</v>
      </c>
    </row>
    <row r="18" spans="1:31" ht="47.25" x14ac:dyDescent="0.25">
      <c r="A18" s="23" t="s">
        <v>43</v>
      </c>
      <c r="B18" s="17" t="s">
        <v>41</v>
      </c>
      <c r="C18" s="17" t="s">
        <v>42</v>
      </c>
      <c r="D18" s="17" t="s">
        <v>38</v>
      </c>
      <c r="E18" s="19">
        <v>1</v>
      </c>
      <c r="F18" s="20">
        <f t="shared" si="6"/>
        <v>362980.93</v>
      </c>
      <c r="G18" s="20">
        <f t="shared" si="7"/>
        <v>309037.32</v>
      </c>
      <c r="H18" s="20">
        <v>237355.85</v>
      </c>
      <c r="I18" s="25">
        <v>0</v>
      </c>
      <c r="J18" s="20">
        <v>0</v>
      </c>
      <c r="K18" s="20">
        <f t="shared" si="8"/>
        <v>71681.47</v>
      </c>
      <c r="L18" s="20"/>
      <c r="M18" s="25">
        <v>29797.919999999998</v>
      </c>
      <c r="N18" s="25">
        <v>430</v>
      </c>
      <c r="O18" s="25">
        <v>0</v>
      </c>
      <c r="P18" s="25">
        <v>0</v>
      </c>
      <c r="Q18" s="25">
        <v>16600</v>
      </c>
      <c r="R18" s="20">
        <v>481.84</v>
      </c>
      <c r="S18" s="25">
        <v>182.13</v>
      </c>
      <c r="T18" s="20">
        <v>0</v>
      </c>
      <c r="U18" s="20">
        <v>0</v>
      </c>
      <c r="V18" s="25">
        <v>24.38</v>
      </c>
      <c r="W18" s="20">
        <v>0</v>
      </c>
      <c r="X18" s="20">
        <f t="shared" si="9"/>
        <v>5869.47</v>
      </c>
      <c r="Y18" s="27">
        <v>4508.04</v>
      </c>
      <c r="Z18" s="25">
        <v>0</v>
      </c>
      <c r="AA18" s="20">
        <v>0</v>
      </c>
      <c r="AB18" s="20">
        <f t="shared" si="10"/>
        <v>1361.43</v>
      </c>
      <c r="AC18" s="25">
        <v>0</v>
      </c>
      <c r="AD18" s="25">
        <v>987.87</v>
      </c>
      <c r="AE18" s="25">
        <v>0</v>
      </c>
    </row>
    <row r="19" spans="1:31" ht="25.5" x14ac:dyDescent="0.35">
      <c r="A19" s="305" t="s">
        <v>154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</row>
    <row r="20" spans="1:31" ht="78.75" x14ac:dyDescent="0.25">
      <c r="A20" s="236" t="s">
        <v>43</v>
      </c>
      <c r="B20" s="17" t="s">
        <v>49</v>
      </c>
      <c r="C20" s="235" t="s">
        <v>37</v>
      </c>
      <c r="D20" s="235" t="s">
        <v>38</v>
      </c>
      <c r="E20" s="19">
        <v>1</v>
      </c>
      <c r="F20" s="20">
        <f t="shared" ref="F20:F22" si="11">SUM(G20,M20,Q20,R20,S20,T20,V20,W20,X20,AD20,P20,U20)</f>
        <v>4526.66</v>
      </c>
      <c r="G20" s="20">
        <f t="shared" ref="G20:G22" si="12">SUM(H20:L20)</f>
        <v>2240.8999999999996</v>
      </c>
      <c r="H20" s="20">
        <v>1721.12</v>
      </c>
      <c r="I20" s="25">
        <v>0</v>
      </c>
      <c r="J20" s="20">
        <v>0</v>
      </c>
      <c r="K20" s="20">
        <f t="shared" ref="K20:K22" si="13">ROUND(H20*0.302,2)</f>
        <v>519.78</v>
      </c>
      <c r="L20" s="20"/>
      <c r="M20" s="25">
        <v>199.09</v>
      </c>
      <c r="N20" s="25">
        <v>40.46</v>
      </c>
      <c r="O20" s="25">
        <v>4.33</v>
      </c>
      <c r="P20" s="25">
        <v>0</v>
      </c>
      <c r="Q20" s="25">
        <v>188.74</v>
      </c>
      <c r="R20" s="20">
        <f>300.69-88.19</f>
        <v>212.5</v>
      </c>
      <c r="S20" s="25">
        <v>123.76</v>
      </c>
      <c r="T20" s="20">
        <v>99.17</v>
      </c>
      <c r="U20" s="20">
        <v>0</v>
      </c>
      <c r="V20" s="25">
        <v>21.06</v>
      </c>
      <c r="W20" s="20">
        <v>0</v>
      </c>
      <c r="X20" s="20">
        <f t="shared" ref="X20:X22" si="14">SUM(Y20:AC20)</f>
        <v>1260.3399999999999</v>
      </c>
      <c r="Y20" s="27">
        <v>968</v>
      </c>
      <c r="Z20" s="25">
        <v>0</v>
      </c>
      <c r="AA20" s="20">
        <v>0</v>
      </c>
      <c r="AB20" s="20">
        <f t="shared" ref="AB20:AB22" si="15">ROUND(Y20*0.302,2)</f>
        <v>292.33999999999997</v>
      </c>
      <c r="AC20" s="25">
        <v>0</v>
      </c>
      <c r="AD20" s="25">
        <f>174.24+6.86</f>
        <v>181.10000000000002</v>
      </c>
      <c r="AE20" s="25">
        <v>166.3</v>
      </c>
    </row>
    <row r="21" spans="1:31" ht="63" x14ac:dyDescent="0.25">
      <c r="A21" s="236" t="s">
        <v>43</v>
      </c>
      <c r="B21" s="17" t="s">
        <v>50</v>
      </c>
      <c r="C21" s="235" t="s">
        <v>40</v>
      </c>
      <c r="D21" s="235" t="s">
        <v>38</v>
      </c>
      <c r="E21" s="19">
        <v>1</v>
      </c>
      <c r="F21" s="20">
        <f t="shared" si="11"/>
        <v>34321.499999999993</v>
      </c>
      <c r="G21" s="20">
        <f t="shared" si="12"/>
        <v>13287.89</v>
      </c>
      <c r="H21" s="20">
        <v>10205.75</v>
      </c>
      <c r="I21" s="25">
        <v>0</v>
      </c>
      <c r="J21" s="20">
        <v>0</v>
      </c>
      <c r="K21" s="20">
        <f t="shared" si="13"/>
        <v>3082.14</v>
      </c>
      <c r="L21" s="20"/>
      <c r="M21" s="25">
        <v>285.32</v>
      </c>
      <c r="N21" s="25">
        <v>0</v>
      </c>
      <c r="O21" s="25">
        <v>5.54</v>
      </c>
      <c r="P21" s="25">
        <v>0</v>
      </c>
      <c r="Q21" s="25">
        <f>2402.31-4</f>
        <v>2398.31</v>
      </c>
      <c r="R21" s="20">
        <v>95.33</v>
      </c>
      <c r="S21" s="25">
        <v>27.8</v>
      </c>
      <c r="T21" s="20">
        <v>0</v>
      </c>
      <c r="U21" s="20">
        <v>0</v>
      </c>
      <c r="V21" s="25">
        <v>20.46</v>
      </c>
      <c r="W21" s="20">
        <v>16519.09</v>
      </c>
      <c r="X21" s="20">
        <f t="shared" si="14"/>
        <v>1609.88</v>
      </c>
      <c r="Y21" s="27">
        <v>1236.47</v>
      </c>
      <c r="Z21" s="25">
        <v>0</v>
      </c>
      <c r="AA21" s="20">
        <v>0</v>
      </c>
      <c r="AB21" s="20">
        <f t="shared" si="15"/>
        <v>373.41</v>
      </c>
      <c r="AC21" s="25">
        <v>0</v>
      </c>
      <c r="AD21" s="25">
        <f>81.42-4</f>
        <v>77.42</v>
      </c>
      <c r="AE21" s="25">
        <v>0</v>
      </c>
    </row>
    <row r="22" spans="1:31" ht="47.25" x14ac:dyDescent="0.25">
      <c r="A22" s="236" t="s">
        <v>43</v>
      </c>
      <c r="B22" s="235" t="s">
        <v>41</v>
      </c>
      <c r="C22" s="235" t="s">
        <v>42</v>
      </c>
      <c r="D22" s="235" t="s">
        <v>38</v>
      </c>
      <c r="E22" s="19">
        <v>1</v>
      </c>
      <c r="F22" s="20">
        <f t="shared" si="11"/>
        <v>375954.67999999993</v>
      </c>
      <c r="G22" s="20">
        <f t="shared" si="12"/>
        <v>311332.81</v>
      </c>
      <c r="H22" s="20">
        <v>239118.9</v>
      </c>
      <c r="I22" s="25">
        <v>0</v>
      </c>
      <c r="J22" s="20">
        <v>0</v>
      </c>
      <c r="K22" s="20">
        <f t="shared" si="13"/>
        <v>72213.91</v>
      </c>
      <c r="L22" s="20"/>
      <c r="M22" s="25">
        <v>39809.129999999997</v>
      </c>
      <c r="N22" s="25">
        <v>10345.049999999999</v>
      </c>
      <c r="O22" s="25">
        <v>26963.919999999998</v>
      </c>
      <c r="P22" s="25">
        <v>0</v>
      </c>
      <c r="Q22" s="25">
        <v>17200</v>
      </c>
      <c r="R22" s="20">
        <v>501.11</v>
      </c>
      <c r="S22" s="25">
        <v>189.42</v>
      </c>
      <c r="T22" s="20">
        <v>0</v>
      </c>
      <c r="U22" s="20">
        <v>0</v>
      </c>
      <c r="V22" s="25">
        <v>25.36</v>
      </c>
      <c r="W22" s="20">
        <v>0</v>
      </c>
      <c r="X22" s="20">
        <f t="shared" si="14"/>
        <v>5869.47</v>
      </c>
      <c r="Y22" s="27">
        <v>4508.04</v>
      </c>
      <c r="Z22" s="25">
        <v>0</v>
      </c>
      <c r="AA22" s="20">
        <v>0</v>
      </c>
      <c r="AB22" s="20">
        <f t="shared" si="15"/>
        <v>1361.43</v>
      </c>
      <c r="AC22" s="25">
        <v>0</v>
      </c>
      <c r="AD22" s="25">
        <v>1027.3800000000001</v>
      </c>
      <c r="AE22" s="25">
        <v>0</v>
      </c>
    </row>
    <row r="24" spans="1:31" ht="57.75" customHeight="1" x14ac:dyDescent="0.25">
      <c r="A24" s="304" t="s">
        <v>159</v>
      </c>
      <c r="B24" s="304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</row>
    <row r="26" spans="1:31" ht="15.75" customHeight="1" x14ac:dyDescent="0.25">
      <c r="A26" s="238" t="s">
        <v>0</v>
      </c>
      <c r="B26" s="242" t="s">
        <v>1</v>
      </c>
      <c r="C26" s="303" t="s">
        <v>2</v>
      </c>
      <c r="D26" s="303"/>
      <c r="E26" s="303"/>
      <c r="F26" s="242" t="s">
        <v>3</v>
      </c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</row>
    <row r="27" spans="1:31" ht="15.75" x14ac:dyDescent="0.25">
      <c r="A27" s="238"/>
      <c r="B27" s="242"/>
      <c r="C27" s="249" t="s">
        <v>7</v>
      </c>
      <c r="D27" s="249" t="s">
        <v>8</v>
      </c>
      <c r="E27" s="303" t="s">
        <v>144</v>
      </c>
      <c r="F27" s="246" t="s">
        <v>10</v>
      </c>
      <c r="G27" s="250" t="s">
        <v>11</v>
      </c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</row>
    <row r="28" spans="1:31" ht="15.75" x14ac:dyDescent="0.25">
      <c r="A28" s="238"/>
      <c r="B28" s="242"/>
      <c r="C28" s="249"/>
      <c r="D28" s="249"/>
      <c r="E28" s="303"/>
      <c r="F28" s="246"/>
      <c r="G28" s="242" t="s">
        <v>12</v>
      </c>
      <c r="H28" s="242"/>
      <c r="I28" s="242"/>
      <c r="J28" s="242"/>
      <c r="K28" s="242"/>
      <c r="L28" s="242"/>
      <c r="M28" s="242" t="s">
        <v>13</v>
      </c>
      <c r="N28" s="242"/>
      <c r="O28" s="242"/>
      <c r="P28" s="242" t="s">
        <v>14</v>
      </c>
      <c r="Q28" s="242" t="s">
        <v>15</v>
      </c>
      <c r="R28" s="242" t="s">
        <v>16</v>
      </c>
      <c r="S28" s="242" t="s">
        <v>17</v>
      </c>
      <c r="T28" s="242" t="s">
        <v>18</v>
      </c>
      <c r="U28" s="242" t="s">
        <v>19</v>
      </c>
      <c r="V28" s="242" t="s">
        <v>20</v>
      </c>
      <c r="W28" s="242" t="s">
        <v>21</v>
      </c>
      <c r="X28" s="242" t="s">
        <v>22</v>
      </c>
      <c r="Y28" s="242"/>
      <c r="Z28" s="242"/>
      <c r="AA28" s="242"/>
      <c r="AB28" s="242"/>
      <c r="AC28" s="242"/>
      <c r="AD28" s="242" t="s">
        <v>23</v>
      </c>
    </row>
    <row r="29" spans="1:31" ht="15.75" x14ac:dyDescent="0.25">
      <c r="A29" s="238"/>
      <c r="B29" s="242"/>
      <c r="C29" s="249"/>
      <c r="D29" s="249"/>
      <c r="E29" s="303"/>
      <c r="F29" s="246"/>
      <c r="G29" s="246" t="s">
        <v>24</v>
      </c>
      <c r="H29" s="242" t="s">
        <v>11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6" t="s">
        <v>25</v>
      </c>
      <c r="Y29" s="242" t="s">
        <v>11</v>
      </c>
      <c r="Z29" s="242"/>
      <c r="AA29" s="242"/>
      <c r="AB29" s="242"/>
      <c r="AC29" s="242"/>
      <c r="AD29" s="242"/>
    </row>
    <row r="30" spans="1:31" ht="63" customHeight="1" x14ac:dyDescent="0.25">
      <c r="A30" s="238"/>
      <c r="B30" s="242"/>
      <c r="C30" s="249"/>
      <c r="D30" s="249"/>
      <c r="E30" s="303"/>
      <c r="F30" s="246"/>
      <c r="G30" s="246"/>
      <c r="H30" s="242" t="s">
        <v>26</v>
      </c>
      <c r="I30" s="242" t="s">
        <v>27</v>
      </c>
      <c r="J30" s="242" t="s">
        <v>28</v>
      </c>
      <c r="K30" s="242" t="s">
        <v>29</v>
      </c>
      <c r="L30" s="242" t="s">
        <v>30</v>
      </c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6"/>
      <c r="Y30" s="242" t="s">
        <v>26</v>
      </c>
      <c r="Z30" s="242" t="s">
        <v>27</v>
      </c>
      <c r="AA30" s="242" t="s">
        <v>28</v>
      </c>
      <c r="AB30" s="242" t="s">
        <v>29</v>
      </c>
      <c r="AC30" s="242" t="s">
        <v>30</v>
      </c>
      <c r="AD30" s="242"/>
    </row>
    <row r="31" spans="1:31" ht="15.75" x14ac:dyDescent="0.25">
      <c r="A31" s="238"/>
      <c r="B31" s="242"/>
      <c r="C31" s="249"/>
      <c r="D31" s="249"/>
      <c r="E31" s="303"/>
      <c r="F31" s="246"/>
      <c r="G31" s="246"/>
      <c r="H31" s="242"/>
      <c r="I31" s="242"/>
      <c r="J31" s="242"/>
      <c r="K31" s="242"/>
      <c r="L31" s="242"/>
      <c r="M31" s="246" t="s">
        <v>152</v>
      </c>
      <c r="N31" s="242" t="s">
        <v>32</v>
      </c>
      <c r="O31" s="242"/>
      <c r="P31" s="242"/>
      <c r="Q31" s="242"/>
      <c r="R31" s="242"/>
      <c r="S31" s="242"/>
      <c r="T31" s="242"/>
      <c r="U31" s="242"/>
      <c r="V31" s="242"/>
      <c r="W31" s="242"/>
      <c r="X31" s="246"/>
      <c r="Y31" s="242"/>
      <c r="Z31" s="242"/>
      <c r="AA31" s="242"/>
      <c r="AB31" s="242"/>
      <c r="AC31" s="242"/>
      <c r="AD31" s="242"/>
    </row>
    <row r="32" spans="1:31" ht="135" customHeight="1" x14ac:dyDescent="0.25">
      <c r="A32" s="238"/>
      <c r="B32" s="242"/>
      <c r="C32" s="249"/>
      <c r="D32" s="249"/>
      <c r="E32" s="303"/>
      <c r="F32" s="246"/>
      <c r="G32" s="246"/>
      <c r="H32" s="242"/>
      <c r="I32" s="242"/>
      <c r="J32" s="242"/>
      <c r="K32" s="242"/>
      <c r="L32" s="242"/>
      <c r="M32" s="246"/>
      <c r="N32" s="229" t="s">
        <v>33</v>
      </c>
      <c r="O32" s="229" t="s">
        <v>34</v>
      </c>
      <c r="P32" s="242"/>
      <c r="Q32" s="242"/>
      <c r="R32" s="242"/>
      <c r="S32" s="242"/>
      <c r="T32" s="242"/>
      <c r="U32" s="242"/>
      <c r="V32" s="242"/>
      <c r="W32" s="242"/>
      <c r="X32" s="246"/>
      <c r="Y32" s="242"/>
      <c r="Z32" s="242"/>
      <c r="AA32" s="242"/>
      <c r="AB32" s="242"/>
      <c r="AC32" s="242"/>
      <c r="AD32" s="242"/>
    </row>
    <row r="33" spans="1:31" ht="15.75" x14ac:dyDescent="0.25">
      <c r="A33" s="230">
        <v>1</v>
      </c>
      <c r="B33" s="235">
        <v>2</v>
      </c>
      <c r="C33" s="232">
        <v>3</v>
      </c>
      <c r="D33" s="235">
        <v>4</v>
      </c>
      <c r="E33" s="232">
        <v>5</v>
      </c>
      <c r="F33" s="235">
        <v>6</v>
      </c>
      <c r="G33" s="232">
        <v>7</v>
      </c>
      <c r="H33" s="235">
        <v>8</v>
      </c>
      <c r="I33" s="232">
        <v>9</v>
      </c>
      <c r="J33" s="235">
        <v>10</v>
      </c>
      <c r="K33" s="232">
        <v>11</v>
      </c>
      <c r="L33" s="235">
        <v>12</v>
      </c>
      <c r="M33" s="232">
        <v>13</v>
      </c>
      <c r="N33" s="235">
        <v>14</v>
      </c>
      <c r="O33" s="232">
        <v>15</v>
      </c>
      <c r="P33" s="235">
        <v>16</v>
      </c>
      <c r="Q33" s="232">
        <v>17</v>
      </c>
      <c r="R33" s="235">
        <v>18</v>
      </c>
      <c r="S33" s="232">
        <v>19</v>
      </c>
      <c r="T33" s="235">
        <v>20</v>
      </c>
      <c r="U33" s="232">
        <v>21</v>
      </c>
      <c r="V33" s="235">
        <v>22</v>
      </c>
      <c r="W33" s="232">
        <v>23</v>
      </c>
      <c r="X33" s="235">
        <v>24</v>
      </c>
      <c r="Y33" s="232">
        <v>25</v>
      </c>
      <c r="Z33" s="235">
        <v>26</v>
      </c>
      <c r="AA33" s="232">
        <v>27</v>
      </c>
      <c r="AB33" s="235">
        <v>28</v>
      </c>
      <c r="AC33" s="232">
        <v>29</v>
      </c>
      <c r="AD33" s="235">
        <v>30</v>
      </c>
    </row>
    <row r="34" spans="1:31" ht="25.5" x14ac:dyDescent="0.35">
      <c r="A34" s="305" t="s">
        <v>72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</row>
    <row r="35" spans="1:31" ht="47.25" x14ac:dyDescent="0.25">
      <c r="A35" s="115" t="s">
        <v>145</v>
      </c>
      <c r="B35" s="17" t="s">
        <v>142</v>
      </c>
      <c r="C35" s="17" t="s">
        <v>143</v>
      </c>
      <c r="D35" s="17" t="s">
        <v>38</v>
      </c>
      <c r="E35" s="19">
        <v>1</v>
      </c>
      <c r="F35" s="20">
        <f t="shared" ref="F35" si="16">SUM(G35,M35,Q35,R35,S35,T35,V35,W35,X35,AD35,P35,U35)</f>
        <v>2926132.9600000004</v>
      </c>
      <c r="G35" s="20">
        <f t="shared" ref="G35" si="17">SUM(H35:L35)</f>
        <v>1413160.8100000003</v>
      </c>
      <c r="H35" s="22">
        <v>1085376.9700000002</v>
      </c>
      <c r="I35" s="25">
        <v>0</v>
      </c>
      <c r="J35" s="20">
        <v>0</v>
      </c>
      <c r="K35" s="20">
        <f t="shared" ref="K35" si="18">ROUND(H35*0.302,2)</f>
        <v>327783.84000000003</v>
      </c>
      <c r="L35" s="20">
        <v>0</v>
      </c>
      <c r="M35" s="20">
        <v>547019.30000000005</v>
      </c>
      <c r="N35" s="20">
        <v>209733</v>
      </c>
      <c r="O35" s="20">
        <v>72248.2</v>
      </c>
      <c r="P35" s="20">
        <v>0</v>
      </c>
      <c r="Q35" s="20">
        <v>12883.6</v>
      </c>
      <c r="R35" s="20">
        <v>237659.48</v>
      </c>
      <c r="S35" s="20">
        <v>60565.4</v>
      </c>
      <c r="T35" s="20">
        <v>71576.5</v>
      </c>
      <c r="U35" s="20">
        <v>0</v>
      </c>
      <c r="V35" s="20">
        <v>8243.9</v>
      </c>
      <c r="W35" s="20">
        <v>61560.7</v>
      </c>
      <c r="X35" s="20">
        <f>SUM(Y35:AC35)</f>
        <v>325470.57</v>
      </c>
      <c r="Y35" s="20">
        <v>249977.4</v>
      </c>
      <c r="Z35" s="25">
        <v>0</v>
      </c>
      <c r="AA35" s="20">
        <v>0</v>
      </c>
      <c r="AB35" s="20">
        <f t="shared" ref="AB35" si="19">ROUND(Y35*0.302,2)</f>
        <v>75493.17</v>
      </c>
      <c r="AC35" s="20">
        <v>0</v>
      </c>
      <c r="AD35" s="20">
        <v>187992.7</v>
      </c>
    </row>
    <row r="36" spans="1:31" ht="25.5" x14ac:dyDescent="0.35">
      <c r="A36" s="305" t="s">
        <v>86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</row>
    <row r="37" spans="1:31" ht="47.25" x14ac:dyDescent="0.25">
      <c r="A37" s="115" t="s">
        <v>145</v>
      </c>
      <c r="B37" s="17" t="s">
        <v>142</v>
      </c>
      <c r="C37" s="17" t="s">
        <v>143</v>
      </c>
      <c r="D37" s="17" t="s">
        <v>38</v>
      </c>
      <c r="E37" s="19">
        <v>1</v>
      </c>
      <c r="F37" s="20">
        <v>2909327</v>
      </c>
      <c r="G37" s="20">
        <v>1398011.43</v>
      </c>
      <c r="H37" s="22">
        <v>1073741.5</v>
      </c>
      <c r="I37" s="25">
        <v>0</v>
      </c>
      <c r="J37" s="20">
        <v>0</v>
      </c>
      <c r="K37" s="20">
        <v>324269.93</v>
      </c>
      <c r="L37" s="20">
        <v>0</v>
      </c>
      <c r="M37" s="20">
        <v>547019.30000000005</v>
      </c>
      <c r="N37" s="20">
        <v>209733</v>
      </c>
      <c r="O37" s="20">
        <v>72248.2</v>
      </c>
      <c r="P37" s="20">
        <v>0</v>
      </c>
      <c r="Q37" s="20">
        <v>12883.6</v>
      </c>
      <c r="R37" s="20">
        <v>236003.9</v>
      </c>
      <c r="S37" s="20">
        <v>60565.4</v>
      </c>
      <c r="T37" s="20">
        <v>71576.5</v>
      </c>
      <c r="U37" s="20">
        <v>0</v>
      </c>
      <c r="V37" s="20">
        <v>8243.9</v>
      </c>
      <c r="W37" s="20">
        <v>61560.7</v>
      </c>
      <c r="X37" s="20">
        <v>325470.57</v>
      </c>
      <c r="Y37" s="20">
        <v>249977.4</v>
      </c>
      <c r="Z37" s="20">
        <v>0</v>
      </c>
      <c r="AA37" s="20">
        <v>0</v>
      </c>
      <c r="AB37" s="20">
        <v>75493.17</v>
      </c>
      <c r="AC37" s="20">
        <v>0</v>
      </c>
      <c r="AD37" s="20">
        <v>187991.7</v>
      </c>
    </row>
  </sheetData>
  <mergeCells count="82">
    <mergeCell ref="A34:AE34"/>
    <mergeCell ref="A36:AE36"/>
    <mergeCell ref="AB30:AB32"/>
    <mergeCell ref="AC30:AC32"/>
    <mergeCell ref="M31:M32"/>
    <mergeCell ref="N31:O31"/>
    <mergeCell ref="Z30:Z32"/>
    <mergeCell ref="T28:T32"/>
    <mergeCell ref="AD28:AD32"/>
    <mergeCell ref="G29:G32"/>
    <mergeCell ref="H29:L29"/>
    <mergeCell ref="X29:X32"/>
    <mergeCell ref="Y29:AC29"/>
    <mergeCell ref="H30:H32"/>
    <mergeCell ref="I30:I32"/>
    <mergeCell ref="J30:J32"/>
    <mergeCell ref="K30:K32"/>
    <mergeCell ref="L30:L32"/>
    <mergeCell ref="Y30:Y32"/>
    <mergeCell ref="U28:U32"/>
    <mergeCell ref="V28:V32"/>
    <mergeCell ref="W28:W32"/>
    <mergeCell ref="X28:AC28"/>
    <mergeCell ref="AA30:AA32"/>
    <mergeCell ref="A24:AE24"/>
    <mergeCell ref="A26:A32"/>
    <mergeCell ref="B26:B32"/>
    <mergeCell ref="C26:E26"/>
    <mergeCell ref="F26:AD26"/>
    <mergeCell ref="C27:C32"/>
    <mergeCell ref="D27:D32"/>
    <mergeCell ref="E27:E32"/>
    <mergeCell ref="F27:F32"/>
    <mergeCell ref="G27:AD27"/>
    <mergeCell ref="G28:L28"/>
    <mergeCell ref="M28:O30"/>
    <mergeCell ref="P28:P32"/>
    <mergeCell ref="Q28:Q32"/>
    <mergeCell ref="R28:R32"/>
    <mergeCell ref="S28:S32"/>
    <mergeCell ref="A15:AE15"/>
    <mergeCell ref="AD5:AD9"/>
    <mergeCell ref="Z7:Z9"/>
    <mergeCell ref="AA7:AA9"/>
    <mergeCell ref="AB7:AB9"/>
    <mergeCell ref="AC7:AC9"/>
    <mergeCell ref="D4:D9"/>
    <mergeCell ref="E4:E9"/>
    <mergeCell ref="F4:F9"/>
    <mergeCell ref="G4:AD4"/>
    <mergeCell ref="G5:L5"/>
    <mergeCell ref="M5:O7"/>
    <mergeCell ref="A11:AE11"/>
    <mergeCell ref="A3:A9"/>
    <mergeCell ref="B3:B9"/>
    <mergeCell ref="C3:D3"/>
    <mergeCell ref="A19:AE19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V5:V9"/>
    <mergeCell ref="W5:W9"/>
    <mergeCell ref="X5:AC5"/>
    <mergeCell ref="A1:AE1"/>
    <mergeCell ref="F3:AD3"/>
    <mergeCell ref="AE3:AE9"/>
    <mergeCell ref="C4:C9"/>
    <mergeCell ref="M8:M9"/>
    <mergeCell ref="N8:O8"/>
    <mergeCell ref="P5:P9"/>
    <mergeCell ref="Q5:Q9"/>
    <mergeCell ref="R5:R9"/>
    <mergeCell ref="S5:S9"/>
  </mergeCells>
  <pageMargins left="0.25" right="0.25" top="0.75" bottom="0.75" header="0.3" footer="0.3"/>
  <pageSetup paperSize="9" scale="2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"/>
  <sheetViews>
    <sheetView view="pageBreakPreview" zoomScale="55" zoomScaleNormal="55" zoomScaleSheetLayoutView="55" workbookViewId="0">
      <selection activeCell="F32" sqref="A1:XFD1048576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2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9.8554687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6.5703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04" t="s">
        <v>157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</row>
    <row r="3" spans="1:31" ht="15.75" customHeight="1" x14ac:dyDescent="0.25">
      <c r="A3" s="247" t="s">
        <v>0</v>
      </c>
      <c r="B3" s="243" t="s">
        <v>1</v>
      </c>
      <c r="C3" s="248" t="s">
        <v>2</v>
      </c>
      <c r="D3" s="248"/>
      <c r="E3" s="231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5</v>
      </c>
    </row>
    <row r="4" spans="1:31" ht="15.75" customHeight="1" x14ac:dyDescent="0.25">
      <c r="A4" s="238"/>
      <c r="B4" s="242"/>
      <c r="C4" s="249" t="s">
        <v>7</v>
      </c>
      <c r="D4" s="249" t="s">
        <v>8</v>
      </c>
      <c r="E4" s="303" t="s">
        <v>144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</row>
    <row r="5" spans="1:31" ht="15.75" x14ac:dyDescent="0.25">
      <c r="A5" s="238"/>
      <c r="B5" s="242"/>
      <c r="C5" s="249"/>
      <c r="D5" s="249"/>
      <c r="E5" s="303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</row>
    <row r="6" spans="1:31" ht="15.75" x14ac:dyDescent="0.25">
      <c r="A6" s="238"/>
      <c r="B6" s="242"/>
      <c r="C6" s="249"/>
      <c r="D6" s="249"/>
      <c r="E6" s="303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</row>
    <row r="7" spans="1:31" ht="69" customHeight="1" x14ac:dyDescent="0.25">
      <c r="A7" s="238"/>
      <c r="B7" s="242"/>
      <c r="C7" s="249"/>
      <c r="D7" s="249"/>
      <c r="E7" s="303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</row>
    <row r="8" spans="1:31" ht="15.75" x14ac:dyDescent="0.25">
      <c r="A8" s="238"/>
      <c r="B8" s="242"/>
      <c r="C8" s="249"/>
      <c r="D8" s="249"/>
      <c r="E8" s="303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</row>
    <row r="9" spans="1:31" ht="100.5" customHeight="1" x14ac:dyDescent="0.25">
      <c r="A9" s="238"/>
      <c r="B9" s="242"/>
      <c r="C9" s="249"/>
      <c r="D9" s="249"/>
      <c r="E9" s="303"/>
      <c r="F9" s="246"/>
      <c r="G9" s="246"/>
      <c r="H9" s="242"/>
      <c r="I9" s="242"/>
      <c r="J9" s="242"/>
      <c r="K9" s="242"/>
      <c r="L9" s="242"/>
      <c r="M9" s="246"/>
      <c r="N9" s="229" t="s">
        <v>33</v>
      </c>
      <c r="O9" s="229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</row>
    <row r="10" spans="1:31" ht="15.75" x14ac:dyDescent="0.25">
      <c r="A10" s="230">
        <v>1</v>
      </c>
      <c r="B10" s="235">
        <v>2</v>
      </c>
      <c r="C10" s="232">
        <v>3</v>
      </c>
      <c r="D10" s="235">
        <v>4</v>
      </c>
      <c r="E10" s="232"/>
      <c r="F10" s="235">
        <v>6</v>
      </c>
      <c r="G10" s="232">
        <v>7</v>
      </c>
      <c r="H10" s="235">
        <v>8</v>
      </c>
      <c r="I10" s="232">
        <v>9</v>
      </c>
      <c r="J10" s="235">
        <v>10</v>
      </c>
      <c r="K10" s="232">
        <v>11</v>
      </c>
      <c r="L10" s="235">
        <v>12</v>
      </c>
      <c r="M10" s="232">
        <v>13</v>
      </c>
      <c r="N10" s="229">
        <v>14</v>
      </c>
      <c r="O10" s="235">
        <v>15</v>
      </c>
      <c r="P10" s="235">
        <f>O10+1</f>
        <v>16</v>
      </c>
      <c r="Q10" s="235">
        <f t="shared" ref="Q10:AD10" si="0">P10+1</f>
        <v>17</v>
      </c>
      <c r="R10" s="235">
        <f t="shared" si="0"/>
        <v>18</v>
      </c>
      <c r="S10" s="235">
        <f t="shared" si="0"/>
        <v>19</v>
      </c>
      <c r="T10" s="235">
        <f t="shared" si="0"/>
        <v>20</v>
      </c>
      <c r="U10" s="235">
        <f t="shared" si="0"/>
        <v>21</v>
      </c>
      <c r="V10" s="235">
        <f t="shared" si="0"/>
        <v>22</v>
      </c>
      <c r="W10" s="235">
        <f t="shared" si="0"/>
        <v>23</v>
      </c>
      <c r="X10" s="235">
        <f t="shared" si="0"/>
        <v>24</v>
      </c>
      <c r="Y10" s="235">
        <f t="shared" si="0"/>
        <v>25</v>
      </c>
      <c r="Z10" s="235">
        <f t="shared" si="0"/>
        <v>26</v>
      </c>
      <c r="AA10" s="235">
        <f t="shared" si="0"/>
        <v>27</v>
      </c>
      <c r="AB10" s="235">
        <f t="shared" si="0"/>
        <v>28</v>
      </c>
      <c r="AC10" s="235">
        <f t="shared" si="0"/>
        <v>29</v>
      </c>
      <c r="AD10" s="235">
        <f t="shared" si="0"/>
        <v>30</v>
      </c>
      <c r="AE10" s="235">
        <f>AD10+1</f>
        <v>31</v>
      </c>
    </row>
    <row r="11" spans="1:31" ht="25.5" x14ac:dyDescent="0.35">
      <c r="A11" s="305" t="s">
        <v>72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</row>
    <row r="12" spans="1:31" ht="78.75" x14ac:dyDescent="0.25">
      <c r="A12" s="23" t="s">
        <v>44</v>
      </c>
      <c r="B12" s="17" t="s">
        <v>49</v>
      </c>
      <c r="C12" s="17" t="s">
        <v>37</v>
      </c>
      <c r="D12" s="17" t="s">
        <v>45</v>
      </c>
      <c r="E12" s="19">
        <v>1</v>
      </c>
      <c r="F12" s="20">
        <f t="shared" ref="F12:F13" si="1">SUM(G12,M12,Q12,R12,S12,T12,V12,W12,X12,AD12,P12,U12)</f>
        <v>3028.86</v>
      </c>
      <c r="G12" s="20">
        <f t="shared" ref="G12:G13" si="2">SUM(H12:L12)</f>
        <v>1426.28</v>
      </c>
      <c r="H12" s="20">
        <v>1095.45</v>
      </c>
      <c r="I12" s="25">
        <v>0</v>
      </c>
      <c r="J12" s="20">
        <v>0</v>
      </c>
      <c r="K12" s="20">
        <f t="shared" ref="K12:K13" si="3">ROUND(H12*0.302,2)</f>
        <v>330.83</v>
      </c>
      <c r="L12" s="20"/>
      <c r="M12" s="25">
        <v>303.01</v>
      </c>
      <c r="N12" s="25">
        <v>32.25</v>
      </c>
      <c r="O12" s="25">
        <v>56.12</v>
      </c>
      <c r="P12" s="25">
        <v>0</v>
      </c>
      <c r="Q12" s="25">
        <v>55.47</v>
      </c>
      <c r="R12" s="20">
        <v>122.37</v>
      </c>
      <c r="S12" s="25">
        <f>404.31-58.06</f>
        <v>346.25</v>
      </c>
      <c r="T12" s="20">
        <v>11.29</v>
      </c>
      <c r="U12" s="20">
        <v>0</v>
      </c>
      <c r="V12" s="25">
        <v>43.37</v>
      </c>
      <c r="W12" s="20">
        <v>0</v>
      </c>
      <c r="X12" s="20">
        <f t="shared" ref="X12:X13" si="4">SUM(Y12:AC12)</f>
        <v>713.65</v>
      </c>
      <c r="Y12" s="27">
        <v>548.12</v>
      </c>
      <c r="Z12" s="25">
        <v>0</v>
      </c>
      <c r="AA12" s="20">
        <v>0</v>
      </c>
      <c r="AB12" s="20">
        <f t="shared" ref="AB12:AB13" si="5">ROUND(Y12*0.302,2)</f>
        <v>165.53</v>
      </c>
      <c r="AC12" s="25">
        <v>0</v>
      </c>
      <c r="AD12" s="25">
        <f>10.76-3.59</f>
        <v>7.17</v>
      </c>
      <c r="AE12" s="25">
        <v>112.2</v>
      </c>
    </row>
    <row r="13" spans="1:31" ht="63" x14ac:dyDescent="0.25">
      <c r="A13" s="23" t="s">
        <v>44</v>
      </c>
      <c r="B13" s="17" t="s">
        <v>50</v>
      </c>
      <c r="C13" s="17" t="s">
        <v>40</v>
      </c>
      <c r="D13" s="17" t="s">
        <v>45</v>
      </c>
      <c r="E13" s="19">
        <v>1</v>
      </c>
      <c r="F13" s="20">
        <f t="shared" si="1"/>
        <v>19861.96</v>
      </c>
      <c r="G13" s="20">
        <f t="shared" si="2"/>
        <v>15417.8</v>
      </c>
      <c r="H13" s="20">
        <v>11841.63</v>
      </c>
      <c r="I13" s="25">
        <v>0</v>
      </c>
      <c r="J13" s="20">
        <v>0</v>
      </c>
      <c r="K13" s="20">
        <f t="shared" si="3"/>
        <v>3576.17</v>
      </c>
      <c r="L13" s="20"/>
      <c r="M13" s="25">
        <v>151.07</v>
      </c>
      <c r="N13" s="25">
        <v>0</v>
      </c>
      <c r="O13" s="25">
        <v>29.45</v>
      </c>
      <c r="P13" s="25">
        <v>0</v>
      </c>
      <c r="Q13" s="25">
        <v>540</v>
      </c>
      <c r="R13" s="20">
        <v>524.52</v>
      </c>
      <c r="S13" s="25">
        <v>675.68</v>
      </c>
      <c r="T13" s="20">
        <v>0</v>
      </c>
      <c r="U13" s="20">
        <v>0</v>
      </c>
      <c r="V13" s="25">
        <v>10.81</v>
      </c>
      <c r="W13" s="20">
        <v>0</v>
      </c>
      <c r="X13" s="20">
        <f t="shared" si="4"/>
        <v>2406.94</v>
      </c>
      <c r="Y13" s="27">
        <v>1848.65</v>
      </c>
      <c r="Z13" s="25">
        <v>0</v>
      </c>
      <c r="AA13" s="20">
        <v>0</v>
      </c>
      <c r="AB13" s="20">
        <f t="shared" si="5"/>
        <v>558.29</v>
      </c>
      <c r="AC13" s="25">
        <v>0</v>
      </c>
      <c r="AD13" s="25">
        <v>135.13999999999999</v>
      </c>
      <c r="AE13" s="25">
        <v>0</v>
      </c>
    </row>
    <row r="14" spans="1:31" ht="25.5" x14ac:dyDescent="0.35">
      <c r="A14" s="305" t="s">
        <v>86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</row>
    <row r="15" spans="1:31" ht="78.75" x14ac:dyDescent="0.25">
      <c r="A15" s="23" t="s">
        <v>44</v>
      </c>
      <c r="B15" s="17" t="s">
        <v>49</v>
      </c>
      <c r="C15" s="17" t="s">
        <v>37</v>
      </c>
      <c r="D15" s="17" t="s">
        <v>45</v>
      </c>
      <c r="E15" s="19">
        <v>1</v>
      </c>
      <c r="F15" s="20">
        <f t="shared" ref="F15:F16" si="6">SUM(G15,M15,Q15,R15,S15,T15,V15,W15,X15,AD15,P15,U15)</f>
        <v>3081.2599999999998</v>
      </c>
      <c r="G15" s="20">
        <f t="shared" ref="G15:G16" si="7">SUM(H15:L15)</f>
        <v>1387.33</v>
      </c>
      <c r="H15" s="20">
        <v>1065.54</v>
      </c>
      <c r="I15" s="25">
        <v>0</v>
      </c>
      <c r="J15" s="20">
        <v>0</v>
      </c>
      <c r="K15" s="20">
        <f t="shared" ref="K15:K16" si="8">ROUND(H15*0.302,2)</f>
        <v>321.79000000000002</v>
      </c>
      <c r="L15" s="20"/>
      <c r="M15" s="25">
        <v>348.56</v>
      </c>
      <c r="N15" s="25">
        <v>79.95</v>
      </c>
      <c r="O15" s="25">
        <v>55.67</v>
      </c>
      <c r="P15" s="25">
        <v>0</v>
      </c>
      <c r="Q15" s="25">
        <v>55.03</v>
      </c>
      <c r="R15" s="20">
        <v>121.1</v>
      </c>
      <c r="S15" s="25">
        <f>401.09-45.34</f>
        <v>355.75</v>
      </c>
      <c r="T15" s="20">
        <v>11.2</v>
      </c>
      <c r="U15" s="20">
        <v>0</v>
      </c>
      <c r="V15" s="25">
        <v>43.02</v>
      </c>
      <c r="W15" s="20">
        <v>0</v>
      </c>
      <c r="X15" s="20">
        <f t="shared" ref="X15:X16" si="9">SUM(Y15:AC15)</f>
        <v>707.99</v>
      </c>
      <c r="Y15" s="27">
        <v>543.77</v>
      </c>
      <c r="Z15" s="25">
        <v>0</v>
      </c>
      <c r="AA15" s="20">
        <v>0</v>
      </c>
      <c r="AB15" s="20">
        <f t="shared" ref="AB15:AB16" si="10">ROUND(Y15*0.302,2)</f>
        <v>164.22</v>
      </c>
      <c r="AC15" s="25">
        <v>0</v>
      </c>
      <c r="AD15" s="25">
        <f>54.8-3.52</f>
        <v>51.279999999999994</v>
      </c>
      <c r="AE15" s="25">
        <v>112.1</v>
      </c>
    </row>
    <row r="16" spans="1:31" ht="63" x14ac:dyDescent="0.25">
      <c r="A16" s="23" t="s">
        <v>44</v>
      </c>
      <c r="B16" s="17" t="s">
        <v>50</v>
      </c>
      <c r="C16" s="17" t="s">
        <v>40</v>
      </c>
      <c r="D16" s="17" t="s">
        <v>45</v>
      </c>
      <c r="E16" s="19">
        <v>1</v>
      </c>
      <c r="F16" s="20">
        <f t="shared" si="6"/>
        <v>20476.379999999997</v>
      </c>
      <c r="G16" s="20">
        <f t="shared" si="7"/>
        <v>13670.45</v>
      </c>
      <c r="H16" s="20">
        <v>10499.58</v>
      </c>
      <c r="I16" s="25">
        <v>0</v>
      </c>
      <c r="J16" s="20">
        <v>0</v>
      </c>
      <c r="K16" s="20">
        <f t="shared" si="8"/>
        <v>3170.87</v>
      </c>
      <c r="L16" s="20"/>
      <c r="M16" s="25">
        <v>85.6</v>
      </c>
      <c r="N16" s="25">
        <v>0</v>
      </c>
      <c r="O16" s="25">
        <v>40.6</v>
      </c>
      <c r="P16" s="25">
        <v>0</v>
      </c>
      <c r="Q16" s="25">
        <v>55.38</v>
      </c>
      <c r="R16" s="20">
        <v>1453.06</v>
      </c>
      <c r="S16" s="25">
        <f>1416-1</f>
        <v>1415</v>
      </c>
      <c r="T16" s="20">
        <v>0</v>
      </c>
      <c r="U16" s="20">
        <v>0</v>
      </c>
      <c r="V16" s="25">
        <v>30</v>
      </c>
      <c r="W16" s="20">
        <v>0</v>
      </c>
      <c r="X16" s="20">
        <f t="shared" si="9"/>
        <v>3702.89</v>
      </c>
      <c r="Y16" s="27">
        <v>2844</v>
      </c>
      <c r="Z16" s="25">
        <v>0</v>
      </c>
      <c r="AA16" s="20">
        <v>0</v>
      </c>
      <c r="AB16" s="20">
        <f t="shared" si="10"/>
        <v>858.89</v>
      </c>
      <c r="AC16" s="25">
        <v>0</v>
      </c>
      <c r="AD16" s="25">
        <f>65-1</f>
        <v>64</v>
      </c>
      <c r="AE16" s="25">
        <v>0</v>
      </c>
    </row>
    <row r="17" spans="1:31" ht="25.5" x14ac:dyDescent="0.35">
      <c r="A17" s="305" t="s">
        <v>154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</row>
    <row r="18" spans="1:31" ht="78.75" x14ac:dyDescent="0.25">
      <c r="A18" s="236" t="s">
        <v>44</v>
      </c>
      <c r="B18" s="17" t="s">
        <v>49</v>
      </c>
      <c r="C18" s="235" t="s">
        <v>37</v>
      </c>
      <c r="D18" s="235" t="s">
        <v>45</v>
      </c>
      <c r="E18" s="19">
        <v>1</v>
      </c>
      <c r="F18" s="20">
        <f t="shared" ref="F18:F19" si="11">SUM(G18,M18,Q18,R18,S18,T18,V18,W18,X18,AD18,P18,U18)</f>
        <v>3281.04</v>
      </c>
      <c r="G18" s="20">
        <f t="shared" ref="G18:G19" si="12">SUM(H18:L18)</f>
        <v>1567.97</v>
      </c>
      <c r="H18" s="20">
        <v>1204.28</v>
      </c>
      <c r="I18" s="25">
        <v>0</v>
      </c>
      <c r="J18" s="20">
        <v>0</v>
      </c>
      <c r="K18" s="20">
        <f t="shared" ref="K18:K19" si="13">ROUND(H18*0.302,2)</f>
        <v>363.69</v>
      </c>
      <c r="L18" s="20"/>
      <c r="M18" s="25">
        <v>385.04</v>
      </c>
      <c r="N18" s="25">
        <v>83.46</v>
      </c>
      <c r="O18" s="25">
        <v>59.24</v>
      </c>
      <c r="P18" s="25">
        <v>0</v>
      </c>
      <c r="Q18" s="25">
        <v>58.56</v>
      </c>
      <c r="R18" s="20">
        <v>128.86000000000001</v>
      </c>
      <c r="S18" s="25">
        <f>337.85-62.71</f>
        <v>275.14000000000004</v>
      </c>
      <c r="T18" s="20">
        <v>11.92</v>
      </c>
      <c r="U18" s="20">
        <v>0</v>
      </c>
      <c r="V18" s="25">
        <v>45.78</v>
      </c>
      <c r="W18" s="20">
        <v>0</v>
      </c>
      <c r="X18" s="20">
        <f t="shared" ref="X18:X19" si="14">SUM(Y18:AC18)</f>
        <v>753.35</v>
      </c>
      <c r="Y18" s="27">
        <v>578.61</v>
      </c>
      <c r="Z18" s="25">
        <v>0</v>
      </c>
      <c r="AA18" s="20">
        <v>0</v>
      </c>
      <c r="AB18" s="20">
        <f t="shared" ref="AB18:AB19" si="15">ROUND(Y18*0.302,2)</f>
        <v>174.74</v>
      </c>
      <c r="AC18" s="25">
        <v>0</v>
      </c>
      <c r="AD18" s="25">
        <f>58.31-3.89</f>
        <v>54.42</v>
      </c>
      <c r="AE18" s="25">
        <v>112.1</v>
      </c>
    </row>
    <row r="19" spans="1:31" ht="63" x14ac:dyDescent="0.25">
      <c r="A19" s="236" t="s">
        <v>44</v>
      </c>
      <c r="B19" s="17" t="s">
        <v>50</v>
      </c>
      <c r="C19" s="235" t="s">
        <v>40</v>
      </c>
      <c r="D19" s="235" t="s">
        <v>45</v>
      </c>
      <c r="E19" s="19">
        <v>1</v>
      </c>
      <c r="F19" s="20">
        <f t="shared" si="11"/>
        <v>21999.32</v>
      </c>
      <c r="G19" s="20">
        <f t="shared" si="12"/>
        <v>15917.019999999999</v>
      </c>
      <c r="H19" s="20">
        <v>12225.05</v>
      </c>
      <c r="I19" s="25">
        <v>0</v>
      </c>
      <c r="J19" s="20">
        <v>0</v>
      </c>
      <c r="K19" s="20">
        <f t="shared" si="13"/>
        <v>3691.97</v>
      </c>
      <c r="L19" s="20"/>
      <c r="M19" s="25">
        <v>578.17999999999995</v>
      </c>
      <c r="N19" s="25">
        <v>0</v>
      </c>
      <c r="O19" s="25">
        <v>528.17999999999995</v>
      </c>
      <c r="P19" s="25">
        <v>0</v>
      </c>
      <c r="Q19" s="25">
        <v>533.33000000000004</v>
      </c>
      <c r="R19" s="20">
        <v>328.67</v>
      </c>
      <c r="S19" s="25">
        <f>2241.99-1.11</f>
        <v>2240.8799999999997</v>
      </c>
      <c r="T19" s="20">
        <v>0</v>
      </c>
      <c r="U19" s="20">
        <v>0</v>
      </c>
      <c r="V19" s="25">
        <v>55.56</v>
      </c>
      <c r="W19" s="20">
        <v>0</v>
      </c>
      <c r="X19" s="20">
        <f t="shared" si="14"/>
        <v>2256.8000000000002</v>
      </c>
      <c r="Y19" s="27">
        <v>1733.33</v>
      </c>
      <c r="Z19" s="25">
        <v>0</v>
      </c>
      <c r="AA19" s="20">
        <v>0</v>
      </c>
      <c r="AB19" s="20">
        <f t="shared" si="15"/>
        <v>523.47</v>
      </c>
      <c r="AC19" s="25">
        <v>0</v>
      </c>
      <c r="AD19" s="25">
        <v>88.88</v>
      </c>
      <c r="AE19" s="25">
        <v>0</v>
      </c>
    </row>
    <row r="21" spans="1:31" ht="57.75" customHeight="1" x14ac:dyDescent="0.25">
      <c r="A21" s="304" t="s">
        <v>160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</row>
    <row r="23" spans="1:31" ht="15.75" customHeight="1" x14ac:dyDescent="0.25">
      <c r="A23" s="238" t="s">
        <v>0</v>
      </c>
      <c r="B23" s="242" t="s">
        <v>1</v>
      </c>
      <c r="C23" s="303" t="s">
        <v>2</v>
      </c>
      <c r="D23" s="303"/>
      <c r="E23" s="303"/>
      <c r="F23" s="242" t="s">
        <v>3</v>
      </c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313"/>
    </row>
    <row r="24" spans="1:31" ht="15.75" x14ac:dyDescent="0.25">
      <c r="A24" s="238"/>
      <c r="B24" s="242"/>
      <c r="C24" s="249" t="s">
        <v>7</v>
      </c>
      <c r="D24" s="249" t="s">
        <v>8</v>
      </c>
      <c r="E24" s="303" t="s">
        <v>144</v>
      </c>
      <c r="F24" s="246" t="s">
        <v>10</v>
      </c>
      <c r="G24" s="250" t="s">
        <v>11</v>
      </c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314"/>
    </row>
    <row r="25" spans="1:31" ht="15.75" x14ac:dyDescent="0.25">
      <c r="A25" s="238"/>
      <c r="B25" s="242"/>
      <c r="C25" s="249"/>
      <c r="D25" s="249"/>
      <c r="E25" s="303"/>
      <c r="F25" s="246"/>
      <c r="G25" s="242" t="s">
        <v>12</v>
      </c>
      <c r="H25" s="242"/>
      <c r="I25" s="242"/>
      <c r="J25" s="242"/>
      <c r="K25" s="242"/>
      <c r="L25" s="242"/>
      <c r="M25" s="242" t="s">
        <v>13</v>
      </c>
      <c r="N25" s="242"/>
      <c r="O25" s="242"/>
      <c r="P25" s="242" t="s">
        <v>14</v>
      </c>
      <c r="Q25" s="242" t="s">
        <v>15</v>
      </c>
      <c r="R25" s="242" t="s">
        <v>16</v>
      </c>
      <c r="S25" s="242" t="s">
        <v>17</v>
      </c>
      <c r="T25" s="242" t="s">
        <v>18</v>
      </c>
      <c r="U25" s="242" t="s">
        <v>19</v>
      </c>
      <c r="V25" s="242" t="s">
        <v>20</v>
      </c>
      <c r="W25" s="242" t="s">
        <v>21</v>
      </c>
      <c r="X25" s="242" t="s">
        <v>22</v>
      </c>
      <c r="Y25" s="242"/>
      <c r="Z25" s="242"/>
      <c r="AA25" s="242"/>
      <c r="AB25" s="242"/>
      <c r="AC25" s="242"/>
      <c r="AD25" s="242" t="s">
        <v>23</v>
      </c>
      <c r="AE25" s="314"/>
    </row>
    <row r="26" spans="1:31" ht="15.75" x14ac:dyDescent="0.25">
      <c r="A26" s="238"/>
      <c r="B26" s="242"/>
      <c r="C26" s="249"/>
      <c r="D26" s="249"/>
      <c r="E26" s="303"/>
      <c r="F26" s="246"/>
      <c r="G26" s="246" t="s">
        <v>24</v>
      </c>
      <c r="H26" s="242" t="s">
        <v>11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6" t="s">
        <v>25</v>
      </c>
      <c r="Y26" s="242" t="s">
        <v>11</v>
      </c>
      <c r="Z26" s="242"/>
      <c r="AA26" s="242"/>
      <c r="AB26" s="242"/>
      <c r="AC26" s="242"/>
      <c r="AD26" s="242"/>
      <c r="AE26" s="314"/>
    </row>
    <row r="27" spans="1:31" ht="72.75" customHeight="1" x14ac:dyDescent="0.25">
      <c r="A27" s="238"/>
      <c r="B27" s="242"/>
      <c r="C27" s="249"/>
      <c r="D27" s="249"/>
      <c r="E27" s="303"/>
      <c r="F27" s="246"/>
      <c r="G27" s="246"/>
      <c r="H27" s="242" t="s">
        <v>26</v>
      </c>
      <c r="I27" s="242" t="s">
        <v>27</v>
      </c>
      <c r="J27" s="242" t="s">
        <v>28</v>
      </c>
      <c r="K27" s="242" t="s">
        <v>29</v>
      </c>
      <c r="L27" s="242" t="s">
        <v>30</v>
      </c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6"/>
      <c r="Y27" s="242" t="s">
        <v>26</v>
      </c>
      <c r="Z27" s="242" t="s">
        <v>27</v>
      </c>
      <c r="AA27" s="242" t="s">
        <v>28</v>
      </c>
      <c r="AB27" s="242" t="s">
        <v>29</v>
      </c>
      <c r="AC27" s="242" t="s">
        <v>30</v>
      </c>
      <c r="AD27" s="242"/>
      <c r="AE27" s="314"/>
    </row>
    <row r="28" spans="1:31" ht="15.75" x14ac:dyDescent="0.25">
      <c r="A28" s="238"/>
      <c r="B28" s="242"/>
      <c r="C28" s="249"/>
      <c r="D28" s="249"/>
      <c r="E28" s="303"/>
      <c r="F28" s="246"/>
      <c r="G28" s="246"/>
      <c r="H28" s="242"/>
      <c r="I28" s="242"/>
      <c r="J28" s="242"/>
      <c r="K28" s="242"/>
      <c r="L28" s="242"/>
      <c r="M28" s="246" t="s">
        <v>31</v>
      </c>
      <c r="N28" s="242" t="s">
        <v>32</v>
      </c>
      <c r="O28" s="242"/>
      <c r="P28" s="242"/>
      <c r="Q28" s="242"/>
      <c r="R28" s="242"/>
      <c r="S28" s="242"/>
      <c r="T28" s="242"/>
      <c r="U28" s="242"/>
      <c r="V28" s="242"/>
      <c r="W28" s="242"/>
      <c r="X28" s="246"/>
      <c r="Y28" s="242"/>
      <c r="Z28" s="242"/>
      <c r="AA28" s="242"/>
      <c r="AB28" s="242"/>
      <c r="AC28" s="242"/>
      <c r="AD28" s="242"/>
      <c r="AE28" s="314"/>
    </row>
    <row r="29" spans="1:31" ht="104.25" customHeight="1" x14ac:dyDescent="0.25">
      <c r="A29" s="238"/>
      <c r="B29" s="242"/>
      <c r="C29" s="249"/>
      <c r="D29" s="249"/>
      <c r="E29" s="303"/>
      <c r="F29" s="246"/>
      <c r="G29" s="246"/>
      <c r="H29" s="242"/>
      <c r="I29" s="242"/>
      <c r="J29" s="242"/>
      <c r="K29" s="242"/>
      <c r="L29" s="242"/>
      <c r="M29" s="246"/>
      <c r="N29" s="229" t="s">
        <v>33</v>
      </c>
      <c r="O29" s="229" t="s">
        <v>34</v>
      </c>
      <c r="P29" s="242"/>
      <c r="Q29" s="242"/>
      <c r="R29" s="242"/>
      <c r="S29" s="242"/>
      <c r="T29" s="242"/>
      <c r="U29" s="242"/>
      <c r="V29" s="242"/>
      <c r="W29" s="242"/>
      <c r="X29" s="246"/>
      <c r="Y29" s="242"/>
      <c r="Z29" s="242"/>
      <c r="AA29" s="242"/>
      <c r="AB29" s="242"/>
      <c r="AC29" s="242"/>
      <c r="AD29" s="242"/>
      <c r="AE29" s="315"/>
    </row>
    <row r="30" spans="1:31" ht="15.75" x14ac:dyDescent="0.25">
      <c r="A30" s="230">
        <v>1</v>
      </c>
      <c r="B30" s="235">
        <v>2</v>
      </c>
      <c r="C30" s="232">
        <v>3</v>
      </c>
      <c r="D30" s="235">
        <v>4</v>
      </c>
      <c r="E30" s="232">
        <v>5</v>
      </c>
      <c r="F30" s="235">
        <v>6</v>
      </c>
      <c r="G30" s="232">
        <v>7</v>
      </c>
      <c r="H30" s="235">
        <v>8</v>
      </c>
      <c r="I30" s="232">
        <v>9</v>
      </c>
      <c r="J30" s="235">
        <v>10</v>
      </c>
      <c r="K30" s="232">
        <v>11</v>
      </c>
      <c r="L30" s="235">
        <v>12</v>
      </c>
      <c r="M30" s="232">
        <v>13</v>
      </c>
      <c r="N30" s="235">
        <v>14</v>
      </c>
      <c r="O30" s="232">
        <v>15</v>
      </c>
      <c r="P30" s="235">
        <v>16</v>
      </c>
      <c r="Q30" s="232">
        <v>17</v>
      </c>
      <c r="R30" s="235">
        <v>18</v>
      </c>
      <c r="S30" s="232">
        <v>19</v>
      </c>
      <c r="T30" s="235">
        <v>20</v>
      </c>
      <c r="U30" s="232">
        <v>21</v>
      </c>
      <c r="V30" s="235">
        <v>22</v>
      </c>
      <c r="W30" s="232">
        <v>23</v>
      </c>
      <c r="X30" s="235">
        <v>24</v>
      </c>
      <c r="Y30" s="232">
        <v>25</v>
      </c>
      <c r="Z30" s="235">
        <v>26</v>
      </c>
      <c r="AA30" s="232">
        <v>27</v>
      </c>
      <c r="AB30" s="235">
        <v>28</v>
      </c>
      <c r="AC30" s="232">
        <v>29</v>
      </c>
      <c r="AD30" s="235">
        <v>30</v>
      </c>
      <c r="AE30" s="235"/>
    </row>
    <row r="31" spans="1:31" ht="25.5" x14ac:dyDescent="0.35">
      <c r="A31" s="305" t="s">
        <v>72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</row>
    <row r="32" spans="1:31" ht="61.5" customHeight="1" x14ac:dyDescent="0.25">
      <c r="A32" s="115" t="s">
        <v>146</v>
      </c>
      <c r="B32" s="17" t="s">
        <v>142</v>
      </c>
      <c r="C32" s="17" t="s">
        <v>143</v>
      </c>
      <c r="D32" s="17" t="s">
        <v>45</v>
      </c>
      <c r="E32" s="19">
        <v>37</v>
      </c>
      <c r="F32" s="20">
        <f t="shared" ref="F32" si="16">SUM(G32,M32,Q32,R32,S32,T32,V32,W32,X32,AD32,P32,U32)</f>
        <v>2926132.9600000004</v>
      </c>
      <c r="G32" s="20">
        <f t="shared" ref="G32" si="17">SUM(H32:L32)</f>
        <v>1048934.3900000004</v>
      </c>
      <c r="H32" s="22">
        <v>805633.17000000027</v>
      </c>
      <c r="I32" s="25">
        <v>0</v>
      </c>
      <c r="J32" s="20">
        <v>0</v>
      </c>
      <c r="K32" s="20">
        <f t="shared" ref="K32" si="18">ROUND(H32*0.302,2)</f>
        <v>243301.22</v>
      </c>
      <c r="L32" s="20">
        <v>0</v>
      </c>
      <c r="M32" s="20">
        <v>839302</v>
      </c>
      <c r="N32" s="20">
        <v>339567.7</v>
      </c>
      <c r="O32" s="20">
        <v>23969.5</v>
      </c>
      <c r="P32" s="20">
        <v>0</v>
      </c>
      <c r="Q32" s="20">
        <v>193603.5</v>
      </c>
      <c r="R32" s="20">
        <v>11725.18</v>
      </c>
      <c r="S32" s="20">
        <v>74904.600000000006</v>
      </c>
      <c r="T32" s="20">
        <v>6491.7</v>
      </c>
      <c r="U32" s="20">
        <v>0</v>
      </c>
      <c r="V32" s="20">
        <v>6741.4</v>
      </c>
      <c r="W32" s="20">
        <v>0</v>
      </c>
      <c r="X32" s="20">
        <f>SUM(Y32:AC32)</f>
        <v>537692.41</v>
      </c>
      <c r="Y32" s="20">
        <v>412974.2</v>
      </c>
      <c r="Z32" s="25">
        <v>0</v>
      </c>
      <c r="AA32" s="20">
        <v>0</v>
      </c>
      <c r="AB32" s="20">
        <f t="shared" ref="AB32" si="19">ROUND(Y32*0.302,2)</f>
        <v>124718.21</v>
      </c>
      <c r="AC32" s="20">
        <v>0</v>
      </c>
      <c r="AD32" s="20">
        <f>206737.78</f>
        <v>206737.78</v>
      </c>
      <c r="AE32" s="20"/>
    </row>
    <row r="33" spans="1:31" ht="25.5" x14ac:dyDescent="0.35">
      <c r="A33" s="305" t="s">
        <v>86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</row>
    <row r="34" spans="1:31" ht="47.25" x14ac:dyDescent="0.25">
      <c r="A34" s="115" t="s">
        <v>146</v>
      </c>
      <c r="B34" s="17" t="s">
        <v>142</v>
      </c>
      <c r="C34" s="17" t="s">
        <v>143</v>
      </c>
      <c r="D34" s="17" t="s">
        <v>45</v>
      </c>
      <c r="E34" s="19">
        <v>32</v>
      </c>
      <c r="F34" s="20">
        <v>2909326.9933800003</v>
      </c>
      <c r="G34" s="20">
        <v>1394246.06</v>
      </c>
      <c r="H34" s="22">
        <v>1070849.51</v>
      </c>
      <c r="I34" s="25">
        <v>0</v>
      </c>
      <c r="J34" s="20">
        <v>0</v>
      </c>
      <c r="K34" s="20">
        <v>323396.55</v>
      </c>
      <c r="L34" s="20">
        <v>0</v>
      </c>
      <c r="M34" s="20">
        <v>478840.94337999995</v>
      </c>
      <c r="N34" s="20">
        <v>339567.7</v>
      </c>
      <c r="O34" s="20">
        <v>23969.5</v>
      </c>
      <c r="P34" s="20">
        <v>0</v>
      </c>
      <c r="Q34" s="20">
        <v>193603.5</v>
      </c>
      <c r="R34" s="20">
        <v>10069.6</v>
      </c>
      <c r="S34" s="20">
        <v>74904.600000000006</v>
      </c>
      <c r="T34" s="20">
        <v>6491.7</v>
      </c>
      <c r="U34" s="20">
        <v>0</v>
      </c>
      <c r="V34" s="20">
        <v>6741.4</v>
      </c>
      <c r="W34" s="20">
        <v>0</v>
      </c>
      <c r="X34" s="20">
        <v>537692.41</v>
      </c>
      <c r="Y34" s="20">
        <v>412974.2</v>
      </c>
      <c r="Z34" s="20">
        <v>0</v>
      </c>
      <c r="AA34" s="20">
        <v>0</v>
      </c>
      <c r="AB34" s="20">
        <v>124718.21</v>
      </c>
      <c r="AC34" s="20">
        <v>0</v>
      </c>
      <c r="AD34" s="20">
        <v>206736.78</v>
      </c>
    </row>
  </sheetData>
  <mergeCells count="83">
    <mergeCell ref="A33:AE33"/>
    <mergeCell ref="AA27:AA29"/>
    <mergeCell ref="AB27:AB29"/>
    <mergeCell ref="AC27:AC29"/>
    <mergeCell ref="M28:M29"/>
    <mergeCell ref="N28:O28"/>
    <mergeCell ref="I27:I29"/>
    <mergeCell ref="J27:J29"/>
    <mergeCell ref="K27:K29"/>
    <mergeCell ref="L27:L29"/>
    <mergeCell ref="Y27:Y29"/>
    <mergeCell ref="Z27:Z29"/>
    <mergeCell ref="U25:U29"/>
    <mergeCell ref="V25:V29"/>
    <mergeCell ref="W25:W29"/>
    <mergeCell ref="X25:AC25"/>
    <mergeCell ref="A21:AE21"/>
    <mergeCell ref="A23:A29"/>
    <mergeCell ref="B23:B29"/>
    <mergeCell ref="C23:E23"/>
    <mergeCell ref="F23:AD23"/>
    <mergeCell ref="AE23:AE29"/>
    <mergeCell ref="C24:C29"/>
    <mergeCell ref="D24:D29"/>
    <mergeCell ref="G26:G29"/>
    <mergeCell ref="H26:L26"/>
    <mergeCell ref="X26:X29"/>
    <mergeCell ref="Y26:AC26"/>
    <mergeCell ref="H27:H29"/>
    <mergeCell ref="E24:E29"/>
    <mergeCell ref="F24:F29"/>
    <mergeCell ref="G24:AD24"/>
    <mergeCell ref="G25:L25"/>
    <mergeCell ref="M25:O27"/>
    <mergeCell ref="P25:P29"/>
    <mergeCell ref="Q25:Q29"/>
    <mergeCell ref="R25:R29"/>
    <mergeCell ref="S25:S29"/>
    <mergeCell ref="T25:T29"/>
    <mergeCell ref="AD25:AD29"/>
    <mergeCell ref="A31:AE31"/>
    <mergeCell ref="A14:AE14"/>
    <mergeCell ref="A17:AE17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V5:V9"/>
    <mergeCell ref="W5:W9"/>
    <mergeCell ref="X5:AC5"/>
    <mergeCell ref="AD5:AD9"/>
    <mergeCell ref="Z7:Z9"/>
    <mergeCell ref="AA7:AA9"/>
    <mergeCell ref="A1:AE1"/>
    <mergeCell ref="A11:AE11"/>
    <mergeCell ref="A3:A9"/>
    <mergeCell ref="B3:B9"/>
    <mergeCell ref="C3:D3"/>
    <mergeCell ref="F3:AD3"/>
    <mergeCell ref="AE3:AE9"/>
    <mergeCell ref="C4:C9"/>
    <mergeCell ref="AB7:AB9"/>
    <mergeCell ref="AC7:AC9"/>
    <mergeCell ref="D4:D9"/>
    <mergeCell ref="E4:E9"/>
    <mergeCell ref="F4:F9"/>
    <mergeCell ref="G4:AD4"/>
    <mergeCell ref="G5:L5"/>
    <mergeCell ref="M5:O7"/>
    <mergeCell ref="P5:P9"/>
    <mergeCell ref="Q5:Q9"/>
    <mergeCell ref="R5:R9"/>
    <mergeCell ref="S5:S9"/>
    <mergeCell ref="M8:M9"/>
    <mergeCell ref="N8:O8"/>
  </mergeCells>
  <pageMargins left="0.25" right="0.25" top="0.75" bottom="0.75" header="0.3" footer="0.3"/>
  <pageSetup paperSize="9" scale="2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4"/>
  <sheetViews>
    <sheetView view="pageBreakPreview" zoomScale="55" zoomScaleNormal="55" zoomScaleSheetLayoutView="55" workbookViewId="0">
      <selection activeCell="F32" sqref="A1:XFD1048576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19.710937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7.8554687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285156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2" ht="60" customHeight="1" x14ac:dyDescent="0.25">
      <c r="A1" s="304" t="s">
        <v>161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</row>
    <row r="3" spans="1:32" ht="15.75" customHeight="1" x14ac:dyDescent="0.25">
      <c r="A3" s="247" t="s">
        <v>0</v>
      </c>
      <c r="B3" s="243" t="s">
        <v>1</v>
      </c>
      <c r="C3" s="248" t="s">
        <v>2</v>
      </c>
      <c r="D3" s="248"/>
      <c r="E3" s="231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5</v>
      </c>
    </row>
    <row r="4" spans="1:32" ht="15.75" customHeight="1" x14ac:dyDescent="0.25">
      <c r="A4" s="238"/>
      <c r="B4" s="242"/>
      <c r="C4" s="249" t="s">
        <v>7</v>
      </c>
      <c r="D4" s="249" t="s">
        <v>8</v>
      </c>
      <c r="E4" s="303" t="s">
        <v>144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</row>
    <row r="5" spans="1:32" ht="15.75" x14ac:dyDescent="0.25">
      <c r="A5" s="238"/>
      <c r="B5" s="242"/>
      <c r="C5" s="249"/>
      <c r="D5" s="249"/>
      <c r="E5" s="303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</row>
    <row r="6" spans="1:32" ht="15.75" x14ac:dyDescent="0.25">
      <c r="A6" s="238"/>
      <c r="B6" s="242"/>
      <c r="C6" s="249"/>
      <c r="D6" s="249"/>
      <c r="E6" s="303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</row>
    <row r="7" spans="1:32" ht="68.25" customHeight="1" x14ac:dyDescent="0.25">
      <c r="A7" s="238"/>
      <c r="B7" s="242"/>
      <c r="C7" s="249"/>
      <c r="D7" s="249"/>
      <c r="E7" s="303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</row>
    <row r="8" spans="1:32" ht="15.75" x14ac:dyDescent="0.25">
      <c r="A8" s="238"/>
      <c r="B8" s="242"/>
      <c r="C8" s="249"/>
      <c r="D8" s="249"/>
      <c r="E8" s="303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</row>
    <row r="9" spans="1:32" ht="105" customHeight="1" x14ac:dyDescent="0.25">
      <c r="A9" s="238"/>
      <c r="B9" s="242"/>
      <c r="C9" s="249"/>
      <c r="D9" s="249"/>
      <c r="E9" s="303"/>
      <c r="F9" s="246"/>
      <c r="G9" s="246"/>
      <c r="H9" s="242"/>
      <c r="I9" s="242"/>
      <c r="J9" s="242"/>
      <c r="K9" s="242"/>
      <c r="L9" s="242"/>
      <c r="M9" s="246"/>
      <c r="N9" s="229" t="s">
        <v>33</v>
      </c>
      <c r="O9" s="229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</row>
    <row r="10" spans="1:32" ht="15.75" x14ac:dyDescent="0.25">
      <c r="A10" s="230">
        <v>1</v>
      </c>
      <c r="B10" s="235">
        <v>2</v>
      </c>
      <c r="C10" s="232">
        <v>3</v>
      </c>
      <c r="D10" s="235">
        <v>4</v>
      </c>
      <c r="E10" s="232"/>
      <c r="F10" s="235">
        <v>6</v>
      </c>
      <c r="G10" s="232">
        <v>7</v>
      </c>
      <c r="H10" s="235">
        <v>8</v>
      </c>
      <c r="I10" s="232">
        <v>9</v>
      </c>
      <c r="J10" s="235">
        <v>10</v>
      </c>
      <c r="K10" s="232">
        <v>11</v>
      </c>
      <c r="L10" s="235">
        <v>12</v>
      </c>
      <c r="M10" s="232">
        <v>13</v>
      </c>
      <c r="N10" s="229">
        <v>14</v>
      </c>
      <c r="O10" s="235">
        <v>15</v>
      </c>
      <c r="P10" s="235">
        <f>O10+1</f>
        <v>16</v>
      </c>
      <c r="Q10" s="235">
        <f t="shared" ref="Q10:AD10" si="0">P10+1</f>
        <v>17</v>
      </c>
      <c r="R10" s="235">
        <f t="shared" si="0"/>
        <v>18</v>
      </c>
      <c r="S10" s="235">
        <f t="shared" si="0"/>
        <v>19</v>
      </c>
      <c r="T10" s="235">
        <f t="shared" si="0"/>
        <v>20</v>
      </c>
      <c r="U10" s="235">
        <f t="shared" si="0"/>
        <v>21</v>
      </c>
      <c r="V10" s="235">
        <f t="shared" si="0"/>
        <v>22</v>
      </c>
      <c r="W10" s="235">
        <f t="shared" si="0"/>
        <v>23</v>
      </c>
      <c r="X10" s="235">
        <f t="shared" si="0"/>
        <v>24</v>
      </c>
      <c r="Y10" s="235">
        <f t="shared" si="0"/>
        <v>25</v>
      </c>
      <c r="Z10" s="235">
        <f t="shared" si="0"/>
        <v>26</v>
      </c>
      <c r="AA10" s="235">
        <f t="shared" si="0"/>
        <v>27</v>
      </c>
      <c r="AB10" s="235">
        <f t="shared" si="0"/>
        <v>28</v>
      </c>
      <c r="AC10" s="235">
        <f t="shared" si="0"/>
        <v>29</v>
      </c>
      <c r="AD10" s="235">
        <f t="shared" si="0"/>
        <v>30</v>
      </c>
      <c r="AE10" s="235">
        <f>AD10+1</f>
        <v>31</v>
      </c>
    </row>
    <row r="11" spans="1:32" ht="25.5" x14ac:dyDescent="0.35">
      <c r="A11" s="305" t="s">
        <v>72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</row>
    <row r="12" spans="1:32" ht="78.75" x14ac:dyDescent="0.25">
      <c r="A12" s="23" t="s">
        <v>46</v>
      </c>
      <c r="B12" s="17" t="s">
        <v>49</v>
      </c>
      <c r="C12" s="17" t="s">
        <v>37</v>
      </c>
      <c r="D12" s="235" t="s">
        <v>45</v>
      </c>
      <c r="E12" s="19">
        <v>1</v>
      </c>
      <c r="F12" s="20">
        <f>SUM(G12,M12,Q12,R12,S12,T12,V12,W12,X12,AD12,P12,U12)</f>
        <v>8588.2400000000016</v>
      </c>
      <c r="G12" s="20">
        <f>SUM(H12:L12)</f>
        <v>4964.8500000000004</v>
      </c>
      <c r="H12" s="20">
        <v>3813.25</v>
      </c>
      <c r="I12" s="25">
        <v>0</v>
      </c>
      <c r="J12" s="20">
        <v>0</v>
      </c>
      <c r="K12" s="20">
        <f t="shared" ref="K12:K13" si="1">ROUND(H12*0.302,2)</f>
        <v>1151.5999999999999</v>
      </c>
      <c r="L12" s="20">
        <v>0</v>
      </c>
      <c r="M12" s="25">
        <v>515.92999999999995</v>
      </c>
      <c r="N12" s="25">
        <v>154.32</v>
      </c>
      <c r="O12" s="25">
        <v>11.79</v>
      </c>
      <c r="P12" s="25">
        <v>0</v>
      </c>
      <c r="Q12" s="25">
        <v>67.73</v>
      </c>
      <c r="R12" s="20">
        <v>220.66</v>
      </c>
      <c r="S12" s="25">
        <v>326.45999999999998</v>
      </c>
      <c r="T12" s="20">
        <f>1014.63-196.64</f>
        <v>817.99</v>
      </c>
      <c r="U12" s="20">
        <v>0</v>
      </c>
      <c r="V12" s="25">
        <v>14.85</v>
      </c>
      <c r="W12" s="20">
        <v>0</v>
      </c>
      <c r="X12" s="20">
        <f t="shared" ref="X12:X13" si="2">SUM(Y12:AC12)</f>
        <v>1588.8999999999999</v>
      </c>
      <c r="Y12" s="27">
        <v>1220.3499999999999</v>
      </c>
      <c r="Z12" s="25">
        <v>0</v>
      </c>
      <c r="AA12" s="20">
        <v>0</v>
      </c>
      <c r="AB12" s="20">
        <f t="shared" ref="AB12:AB13" si="3">ROUND(Y12*0.302,2)</f>
        <v>368.55</v>
      </c>
      <c r="AC12" s="25">
        <v>0</v>
      </c>
      <c r="AD12" s="25">
        <f>68.29+2.58</f>
        <v>70.87</v>
      </c>
      <c r="AE12" s="25">
        <v>66.8</v>
      </c>
      <c r="AF12" s="233"/>
    </row>
    <row r="13" spans="1:32" ht="63" x14ac:dyDescent="0.25">
      <c r="A13" s="23" t="s">
        <v>46</v>
      </c>
      <c r="B13" s="17" t="s">
        <v>50</v>
      </c>
      <c r="C13" s="17" t="s">
        <v>40</v>
      </c>
      <c r="D13" s="235" t="s">
        <v>45</v>
      </c>
      <c r="E13" s="19">
        <v>1</v>
      </c>
      <c r="F13" s="20">
        <f t="shared" ref="F13" si="4">SUM(G13,M13,Q13,R13,S13,T13,V13,W13,X13,AD13,P13,U13)</f>
        <v>24907.15</v>
      </c>
      <c r="G13" s="20">
        <f t="shared" ref="G13" si="5">SUM(H13:L13)</f>
        <v>15551.21</v>
      </c>
      <c r="H13" s="20">
        <v>11944.09</v>
      </c>
      <c r="I13" s="25">
        <v>0</v>
      </c>
      <c r="J13" s="20">
        <v>0</v>
      </c>
      <c r="K13" s="20">
        <f t="shared" si="1"/>
        <v>3607.12</v>
      </c>
      <c r="L13" s="20">
        <v>0</v>
      </c>
      <c r="M13" s="25">
        <v>879.9</v>
      </c>
      <c r="N13" s="25">
        <v>520.01</v>
      </c>
      <c r="O13" s="25">
        <v>0</v>
      </c>
      <c r="P13" s="25">
        <v>0</v>
      </c>
      <c r="Q13" s="25">
        <v>696.68</v>
      </c>
      <c r="R13" s="20">
        <v>1879.22</v>
      </c>
      <c r="S13" s="25">
        <v>0</v>
      </c>
      <c r="T13" s="20">
        <v>0</v>
      </c>
      <c r="U13" s="20">
        <v>0</v>
      </c>
      <c r="V13" s="25">
        <v>153.44999999999999</v>
      </c>
      <c r="W13" s="20">
        <v>0</v>
      </c>
      <c r="X13" s="20">
        <f t="shared" si="2"/>
        <v>5746.69</v>
      </c>
      <c r="Y13" s="27">
        <v>4413.74</v>
      </c>
      <c r="Z13" s="25">
        <v>0</v>
      </c>
      <c r="AA13" s="20">
        <v>0</v>
      </c>
      <c r="AB13" s="20">
        <f t="shared" si="3"/>
        <v>1332.95</v>
      </c>
      <c r="AC13" s="25">
        <v>0</v>
      </c>
      <c r="AD13" s="25">
        <v>0</v>
      </c>
      <c r="AE13" s="25">
        <v>0</v>
      </c>
      <c r="AF13" s="233"/>
    </row>
    <row r="14" spans="1:32" ht="25.5" x14ac:dyDescent="0.35">
      <c r="A14" s="305" t="s">
        <v>86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</row>
    <row r="15" spans="1:32" ht="78.75" x14ac:dyDescent="0.25">
      <c r="A15" s="23" t="s">
        <v>46</v>
      </c>
      <c r="B15" s="17" t="s">
        <v>49</v>
      </c>
      <c r="C15" s="17" t="s">
        <v>37</v>
      </c>
      <c r="D15" s="235" t="s">
        <v>45</v>
      </c>
      <c r="E15" s="19">
        <v>1</v>
      </c>
      <c r="F15" s="20">
        <f t="shared" ref="F15:F16" si="6">SUM(G15,M15,Q15,R15,S15,T15,V15,W15,X15,AD15,P15,U15)</f>
        <v>8745.3700000000008</v>
      </c>
      <c r="G15" s="20">
        <f t="shared" ref="G15:G16" si="7">SUM(H15:L15)</f>
        <v>5054.3899999999994</v>
      </c>
      <c r="H15" s="20">
        <v>3882.02</v>
      </c>
      <c r="I15" s="25">
        <v>0</v>
      </c>
      <c r="J15" s="20">
        <v>0</v>
      </c>
      <c r="K15" s="20">
        <f t="shared" ref="K15:K16" si="8">ROUND(H15*0.302,2)</f>
        <v>1172.3699999999999</v>
      </c>
      <c r="L15" s="20"/>
      <c r="M15" s="25">
        <v>535.80999999999995</v>
      </c>
      <c r="N15" s="25">
        <v>142.86000000000001</v>
      </c>
      <c r="O15" s="25">
        <v>12.08</v>
      </c>
      <c r="P15" s="25">
        <v>0</v>
      </c>
      <c r="Q15" s="25">
        <v>56.24</v>
      </c>
      <c r="R15" s="20">
        <v>219.83</v>
      </c>
      <c r="S15" s="25">
        <v>337.64</v>
      </c>
      <c r="T15" s="20">
        <f>996.89-161.59</f>
        <v>835.3</v>
      </c>
      <c r="U15" s="20">
        <v>0</v>
      </c>
      <c r="V15" s="25">
        <v>13.72</v>
      </c>
      <c r="W15" s="20">
        <v>0</v>
      </c>
      <c r="X15" s="20">
        <f t="shared" ref="X15:X16" si="9">SUM(Y15:AC15)</f>
        <v>1581.07</v>
      </c>
      <c r="Y15" s="27">
        <v>1214.3399999999999</v>
      </c>
      <c r="Z15" s="25">
        <v>0</v>
      </c>
      <c r="AA15" s="20">
        <v>0</v>
      </c>
      <c r="AB15" s="20">
        <f t="shared" ref="AB15:AB16" si="10">ROUND(Y15*0.302,2)</f>
        <v>366.73</v>
      </c>
      <c r="AC15" s="25">
        <v>0</v>
      </c>
      <c r="AD15" s="25">
        <f>108.72+2.65</f>
        <v>111.37</v>
      </c>
      <c r="AE15" s="25">
        <v>65.900000000000006</v>
      </c>
    </row>
    <row r="16" spans="1:32" ht="63" x14ac:dyDescent="0.25">
      <c r="A16" s="23" t="s">
        <v>46</v>
      </c>
      <c r="B16" s="17" t="s">
        <v>50</v>
      </c>
      <c r="C16" s="17" t="s">
        <v>40</v>
      </c>
      <c r="D16" s="235" t="s">
        <v>45</v>
      </c>
      <c r="E16" s="19">
        <v>1</v>
      </c>
      <c r="F16" s="20">
        <f t="shared" si="6"/>
        <v>24936.45</v>
      </c>
      <c r="G16" s="20">
        <f t="shared" si="7"/>
        <v>15493.88</v>
      </c>
      <c r="H16" s="20">
        <v>11900.06</v>
      </c>
      <c r="I16" s="25">
        <v>0</v>
      </c>
      <c r="J16" s="20">
        <v>0</v>
      </c>
      <c r="K16" s="20">
        <f t="shared" si="8"/>
        <v>3593.82</v>
      </c>
      <c r="L16" s="20"/>
      <c r="M16" s="25">
        <v>899.54</v>
      </c>
      <c r="N16" s="25">
        <v>536.80999999999995</v>
      </c>
      <c r="O16" s="25">
        <v>0</v>
      </c>
      <c r="P16" s="25">
        <v>0</v>
      </c>
      <c r="Q16" s="25">
        <v>2907.84</v>
      </c>
      <c r="R16" s="20">
        <v>1913.93</v>
      </c>
      <c r="S16" s="25">
        <v>0</v>
      </c>
      <c r="T16" s="20">
        <v>0</v>
      </c>
      <c r="U16" s="20">
        <v>0</v>
      </c>
      <c r="V16" s="25">
        <v>639.58000000000004</v>
      </c>
      <c r="W16" s="20">
        <v>0</v>
      </c>
      <c r="X16" s="20">
        <f t="shared" si="9"/>
        <v>3081.6800000000003</v>
      </c>
      <c r="Y16" s="27">
        <v>2366.88</v>
      </c>
      <c r="Z16" s="25">
        <v>0</v>
      </c>
      <c r="AA16" s="20">
        <v>0</v>
      </c>
      <c r="AB16" s="20">
        <f t="shared" si="10"/>
        <v>714.8</v>
      </c>
      <c r="AC16" s="25">
        <v>0</v>
      </c>
      <c r="AD16" s="25">
        <v>0</v>
      </c>
      <c r="AE16" s="25">
        <v>0</v>
      </c>
    </row>
    <row r="17" spans="1:31" ht="25.5" x14ac:dyDescent="0.35">
      <c r="A17" s="305" t="s">
        <v>154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</row>
    <row r="18" spans="1:31" ht="78.75" x14ac:dyDescent="0.25">
      <c r="A18" s="236" t="s">
        <v>46</v>
      </c>
      <c r="B18" s="17" t="s">
        <v>49</v>
      </c>
      <c r="C18" s="235" t="s">
        <v>37</v>
      </c>
      <c r="D18" s="235" t="s">
        <v>45</v>
      </c>
      <c r="E18" s="19">
        <v>1</v>
      </c>
      <c r="F18" s="20">
        <f>SUM(G18,M18,Q18,R18,S18,T18,V18,W18,X18,AD18,P18,U18)</f>
        <v>8963.69</v>
      </c>
      <c r="G18" s="20">
        <f t="shared" ref="G18:G19" si="11">SUM(H18:L18)</f>
        <v>5219.38</v>
      </c>
      <c r="H18" s="20">
        <v>4008.74</v>
      </c>
      <c r="I18" s="25">
        <v>0</v>
      </c>
      <c r="J18" s="20">
        <v>0</v>
      </c>
      <c r="K18" s="20">
        <f t="shared" ref="K18:K19" si="12">ROUND(H18*0.302,2)</f>
        <v>1210.6400000000001</v>
      </c>
      <c r="L18" s="20">
        <v>0</v>
      </c>
      <c r="M18" s="25">
        <f>586.45-204.43</f>
        <v>382.02000000000004</v>
      </c>
      <c r="N18" s="25">
        <v>152.59</v>
      </c>
      <c r="O18" s="25">
        <v>12.9</v>
      </c>
      <c r="P18" s="25">
        <v>0</v>
      </c>
      <c r="Q18" s="25">
        <v>79.36</v>
      </c>
      <c r="R18" s="20">
        <v>234.8</v>
      </c>
      <c r="S18" s="25">
        <v>360.97</v>
      </c>
      <c r="T18" s="20">
        <v>997.05</v>
      </c>
      <c r="U18" s="20">
        <v>0</v>
      </c>
      <c r="V18" s="25">
        <v>11.22</v>
      </c>
      <c r="W18" s="20">
        <v>0</v>
      </c>
      <c r="X18" s="20">
        <f t="shared" ref="X18:X19" si="13">SUM(Y18:AC18)</f>
        <v>1616.39</v>
      </c>
      <c r="Y18" s="27">
        <v>1241.47</v>
      </c>
      <c r="Z18" s="25">
        <v>0</v>
      </c>
      <c r="AA18" s="20">
        <v>0</v>
      </c>
      <c r="AB18" s="20">
        <f t="shared" ref="AB18:AB19" si="14">ROUND(Y18*0.302,2)</f>
        <v>374.92</v>
      </c>
      <c r="AC18" s="25">
        <v>0</v>
      </c>
      <c r="AD18" s="25">
        <f>59.76+2.74</f>
        <v>62.5</v>
      </c>
      <c r="AE18" s="25">
        <v>65.900000000000006</v>
      </c>
    </row>
    <row r="19" spans="1:31" ht="63" x14ac:dyDescent="0.25">
      <c r="A19" s="236" t="s">
        <v>46</v>
      </c>
      <c r="B19" s="17" t="s">
        <v>50</v>
      </c>
      <c r="C19" s="235" t="s">
        <v>40</v>
      </c>
      <c r="D19" s="235" t="s">
        <v>45</v>
      </c>
      <c r="E19" s="19">
        <v>1</v>
      </c>
      <c r="F19" s="20">
        <f t="shared" ref="F19" si="15">SUM(G19,M19,Q19,R19,S19,T19,V19,W19,X19,AD19,P19,U19)</f>
        <v>25953.42</v>
      </c>
      <c r="G19" s="20">
        <f t="shared" si="11"/>
        <v>16112.48</v>
      </c>
      <c r="H19" s="20">
        <v>12375.18</v>
      </c>
      <c r="I19" s="25">
        <v>0</v>
      </c>
      <c r="J19" s="20">
        <v>0</v>
      </c>
      <c r="K19" s="20">
        <f t="shared" si="12"/>
        <v>3737.3</v>
      </c>
      <c r="L19" s="20">
        <v>0</v>
      </c>
      <c r="M19" s="25">
        <v>972.84</v>
      </c>
      <c r="N19" s="25">
        <v>582.67999999999995</v>
      </c>
      <c r="O19" s="25">
        <v>0</v>
      </c>
      <c r="P19" s="25">
        <v>0</v>
      </c>
      <c r="Q19" s="25">
        <v>1892.04</v>
      </c>
      <c r="R19" s="20">
        <v>2046.71</v>
      </c>
      <c r="S19" s="25">
        <v>0</v>
      </c>
      <c r="T19" s="20">
        <v>0</v>
      </c>
      <c r="U19" s="20">
        <v>0</v>
      </c>
      <c r="V19" s="25">
        <v>687.94</v>
      </c>
      <c r="W19" s="20">
        <v>0</v>
      </c>
      <c r="X19" s="20">
        <f t="shared" si="13"/>
        <v>3434.96</v>
      </c>
      <c r="Y19" s="27">
        <v>2638.22</v>
      </c>
      <c r="Z19" s="25">
        <v>0</v>
      </c>
      <c r="AA19" s="20">
        <v>0</v>
      </c>
      <c r="AB19" s="20">
        <f t="shared" si="14"/>
        <v>796.74</v>
      </c>
      <c r="AC19" s="25">
        <v>0</v>
      </c>
      <c r="AD19" s="25">
        <v>806.45</v>
      </c>
      <c r="AE19" s="25">
        <v>0</v>
      </c>
    </row>
    <row r="21" spans="1:31" ht="62.25" customHeight="1" x14ac:dyDescent="0.25">
      <c r="A21" s="304" t="s">
        <v>162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</row>
    <row r="23" spans="1:31" ht="15.75" customHeight="1" x14ac:dyDescent="0.25">
      <c r="A23" s="238" t="s">
        <v>0</v>
      </c>
      <c r="B23" s="242" t="s">
        <v>1</v>
      </c>
      <c r="C23" s="303" t="s">
        <v>2</v>
      </c>
      <c r="D23" s="303"/>
      <c r="E23" s="303"/>
      <c r="F23" s="242" t="s">
        <v>3</v>
      </c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</row>
    <row r="24" spans="1:31" ht="15.75" x14ac:dyDescent="0.25">
      <c r="A24" s="238"/>
      <c r="B24" s="242"/>
      <c r="C24" s="249" t="s">
        <v>7</v>
      </c>
      <c r="D24" s="249" t="s">
        <v>8</v>
      </c>
      <c r="E24" s="303" t="s">
        <v>144</v>
      </c>
      <c r="F24" s="246" t="s">
        <v>10</v>
      </c>
      <c r="G24" s="250" t="s">
        <v>11</v>
      </c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</row>
    <row r="25" spans="1:31" ht="15.75" x14ac:dyDescent="0.25">
      <c r="A25" s="238"/>
      <c r="B25" s="242"/>
      <c r="C25" s="249"/>
      <c r="D25" s="249"/>
      <c r="E25" s="303"/>
      <c r="F25" s="246"/>
      <c r="G25" s="242" t="s">
        <v>12</v>
      </c>
      <c r="H25" s="242"/>
      <c r="I25" s="242"/>
      <c r="J25" s="242"/>
      <c r="K25" s="242"/>
      <c r="L25" s="242"/>
      <c r="M25" s="242" t="s">
        <v>13</v>
      </c>
      <c r="N25" s="242"/>
      <c r="O25" s="242"/>
      <c r="P25" s="242" t="s">
        <v>14</v>
      </c>
      <c r="Q25" s="242" t="s">
        <v>15</v>
      </c>
      <c r="R25" s="242" t="s">
        <v>16</v>
      </c>
      <c r="S25" s="242" t="s">
        <v>17</v>
      </c>
      <c r="T25" s="242" t="s">
        <v>18</v>
      </c>
      <c r="U25" s="242" t="s">
        <v>19</v>
      </c>
      <c r="V25" s="242" t="s">
        <v>20</v>
      </c>
      <c r="W25" s="242" t="s">
        <v>21</v>
      </c>
      <c r="X25" s="242" t="s">
        <v>22</v>
      </c>
      <c r="Y25" s="242"/>
      <c r="Z25" s="242"/>
      <c r="AA25" s="242"/>
      <c r="AB25" s="242"/>
      <c r="AC25" s="242"/>
      <c r="AD25" s="242" t="s">
        <v>23</v>
      </c>
    </row>
    <row r="26" spans="1:31" ht="15.75" x14ac:dyDescent="0.25">
      <c r="A26" s="238"/>
      <c r="B26" s="242"/>
      <c r="C26" s="249"/>
      <c r="D26" s="249"/>
      <c r="E26" s="303"/>
      <c r="F26" s="246"/>
      <c r="G26" s="246" t="s">
        <v>24</v>
      </c>
      <c r="H26" s="242" t="s">
        <v>11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6" t="s">
        <v>25</v>
      </c>
      <c r="Y26" s="242" t="s">
        <v>11</v>
      </c>
      <c r="Z26" s="242"/>
      <c r="AA26" s="242"/>
      <c r="AB26" s="242"/>
      <c r="AC26" s="242"/>
      <c r="AD26" s="242"/>
    </row>
    <row r="27" spans="1:31" ht="63" customHeight="1" x14ac:dyDescent="0.25">
      <c r="A27" s="238"/>
      <c r="B27" s="242"/>
      <c r="C27" s="249"/>
      <c r="D27" s="249"/>
      <c r="E27" s="303"/>
      <c r="F27" s="246"/>
      <c r="G27" s="246"/>
      <c r="H27" s="242" t="s">
        <v>26</v>
      </c>
      <c r="I27" s="242" t="s">
        <v>27</v>
      </c>
      <c r="J27" s="242" t="s">
        <v>28</v>
      </c>
      <c r="K27" s="242" t="s">
        <v>29</v>
      </c>
      <c r="L27" s="242" t="s">
        <v>30</v>
      </c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6"/>
      <c r="Y27" s="242" t="s">
        <v>26</v>
      </c>
      <c r="Z27" s="242" t="s">
        <v>27</v>
      </c>
      <c r="AA27" s="242" t="s">
        <v>28</v>
      </c>
      <c r="AB27" s="242" t="s">
        <v>29</v>
      </c>
      <c r="AC27" s="242" t="s">
        <v>30</v>
      </c>
      <c r="AD27" s="242"/>
    </row>
    <row r="28" spans="1:31" ht="15.75" x14ac:dyDescent="0.25">
      <c r="A28" s="238"/>
      <c r="B28" s="242"/>
      <c r="C28" s="249"/>
      <c r="D28" s="249"/>
      <c r="E28" s="303"/>
      <c r="F28" s="246"/>
      <c r="G28" s="246"/>
      <c r="H28" s="242"/>
      <c r="I28" s="242"/>
      <c r="J28" s="242"/>
      <c r="K28" s="242"/>
      <c r="L28" s="242"/>
      <c r="M28" s="246" t="s">
        <v>31</v>
      </c>
      <c r="N28" s="242" t="s">
        <v>32</v>
      </c>
      <c r="O28" s="242"/>
      <c r="P28" s="242"/>
      <c r="Q28" s="242"/>
      <c r="R28" s="242"/>
      <c r="S28" s="242"/>
      <c r="T28" s="242"/>
      <c r="U28" s="242"/>
      <c r="V28" s="242"/>
      <c r="W28" s="242"/>
      <c r="X28" s="246"/>
      <c r="Y28" s="242"/>
      <c r="Z28" s="242"/>
      <c r="AA28" s="242"/>
      <c r="AB28" s="242"/>
      <c r="AC28" s="242"/>
      <c r="AD28" s="242"/>
    </row>
    <row r="29" spans="1:31" ht="102.75" customHeight="1" x14ac:dyDescent="0.25">
      <c r="A29" s="238"/>
      <c r="B29" s="242"/>
      <c r="C29" s="249"/>
      <c r="D29" s="249"/>
      <c r="E29" s="303"/>
      <c r="F29" s="246"/>
      <c r="G29" s="246"/>
      <c r="H29" s="242"/>
      <c r="I29" s="242"/>
      <c r="J29" s="242"/>
      <c r="K29" s="242"/>
      <c r="L29" s="242"/>
      <c r="M29" s="246"/>
      <c r="N29" s="229" t="s">
        <v>33</v>
      </c>
      <c r="O29" s="229" t="s">
        <v>34</v>
      </c>
      <c r="P29" s="242"/>
      <c r="Q29" s="242"/>
      <c r="R29" s="242"/>
      <c r="S29" s="242"/>
      <c r="T29" s="242"/>
      <c r="U29" s="242"/>
      <c r="V29" s="242"/>
      <c r="W29" s="242"/>
      <c r="X29" s="246"/>
      <c r="Y29" s="242"/>
      <c r="Z29" s="242"/>
      <c r="AA29" s="242"/>
      <c r="AB29" s="242"/>
      <c r="AC29" s="242"/>
      <c r="AD29" s="242"/>
    </row>
    <row r="30" spans="1:31" ht="15.75" x14ac:dyDescent="0.25">
      <c r="A30" s="230">
        <v>1</v>
      </c>
      <c r="B30" s="235">
        <v>2</v>
      </c>
      <c r="C30" s="232">
        <v>3</v>
      </c>
      <c r="D30" s="235">
        <v>4</v>
      </c>
      <c r="E30" s="232">
        <v>5</v>
      </c>
      <c r="F30" s="235">
        <v>6</v>
      </c>
      <c r="G30" s="232">
        <v>7</v>
      </c>
      <c r="H30" s="235">
        <v>8</v>
      </c>
      <c r="I30" s="232">
        <v>9</v>
      </c>
      <c r="J30" s="235">
        <v>10</v>
      </c>
      <c r="K30" s="232">
        <v>11</v>
      </c>
      <c r="L30" s="235">
        <v>12</v>
      </c>
      <c r="M30" s="232">
        <v>13</v>
      </c>
      <c r="N30" s="235">
        <v>14</v>
      </c>
      <c r="O30" s="232">
        <v>15</v>
      </c>
      <c r="P30" s="235">
        <v>16</v>
      </c>
      <c r="Q30" s="232">
        <v>17</v>
      </c>
      <c r="R30" s="235">
        <v>18</v>
      </c>
      <c r="S30" s="232">
        <v>19</v>
      </c>
      <c r="T30" s="235">
        <v>20</v>
      </c>
      <c r="U30" s="232">
        <v>21</v>
      </c>
      <c r="V30" s="235">
        <v>22</v>
      </c>
      <c r="W30" s="232">
        <v>23</v>
      </c>
      <c r="X30" s="235">
        <v>24</v>
      </c>
      <c r="Y30" s="232">
        <v>25</v>
      </c>
      <c r="Z30" s="235">
        <v>26</v>
      </c>
      <c r="AA30" s="232">
        <v>27</v>
      </c>
      <c r="AB30" s="235">
        <v>28</v>
      </c>
      <c r="AC30" s="232">
        <v>29</v>
      </c>
      <c r="AD30" s="235">
        <v>30</v>
      </c>
    </row>
    <row r="31" spans="1:31" ht="25.5" x14ac:dyDescent="0.35">
      <c r="A31" s="305" t="s">
        <v>72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</row>
    <row r="32" spans="1:31" ht="47.25" x14ac:dyDescent="0.25">
      <c r="A32" s="115" t="s">
        <v>147</v>
      </c>
      <c r="B32" s="17" t="s">
        <v>142</v>
      </c>
      <c r="C32" s="17" t="s">
        <v>143</v>
      </c>
      <c r="D32" s="235" t="s">
        <v>45</v>
      </c>
      <c r="E32" s="19">
        <v>1</v>
      </c>
      <c r="F32" s="20">
        <f t="shared" ref="F32" si="16">SUM(G32,M32,Q32,R32,S32,T32,V32,W32,X32,AD32,P32,U32)</f>
        <v>2926132.96</v>
      </c>
      <c r="G32" s="20">
        <f t="shared" ref="G32" si="17">SUM(H32:L32)</f>
        <v>1695080.2100000002</v>
      </c>
      <c r="H32" s="22">
        <v>1241434.5700000003</v>
      </c>
      <c r="I32" s="25">
        <v>0</v>
      </c>
      <c r="J32" s="20">
        <v>0</v>
      </c>
      <c r="K32" s="20">
        <f t="shared" ref="K32" si="18">ROUND(H32*0.302,2)</f>
        <v>374913.24</v>
      </c>
      <c r="L32" s="20">
        <v>78732.399999999994</v>
      </c>
      <c r="M32" s="20">
        <v>256286</v>
      </c>
      <c r="N32" s="20">
        <v>0</v>
      </c>
      <c r="O32" s="20">
        <v>12302.3</v>
      </c>
      <c r="P32" s="20">
        <v>0</v>
      </c>
      <c r="Q32" s="20">
        <v>0</v>
      </c>
      <c r="R32" s="20">
        <v>96743.38</v>
      </c>
      <c r="S32" s="20">
        <v>0</v>
      </c>
      <c r="T32" s="20">
        <v>334455.17</v>
      </c>
      <c r="U32" s="20">
        <v>0</v>
      </c>
      <c r="V32" s="20">
        <v>0</v>
      </c>
      <c r="W32" s="20">
        <v>0</v>
      </c>
      <c r="X32" s="20">
        <f>SUM(Y32:AC32)</f>
        <v>543568.19999999995</v>
      </c>
      <c r="Y32" s="20">
        <v>417487.1</v>
      </c>
      <c r="Z32" s="25">
        <v>0</v>
      </c>
      <c r="AA32" s="20">
        <v>0</v>
      </c>
      <c r="AB32" s="20">
        <f t="shared" ref="AB32" si="19">ROUND(Y32*0.302,2)</f>
        <v>126081.1</v>
      </c>
      <c r="AC32" s="20">
        <v>0</v>
      </c>
      <c r="AD32" s="20">
        <v>0</v>
      </c>
    </row>
    <row r="33" spans="1:31" ht="25.5" x14ac:dyDescent="0.35">
      <c r="A33" s="305" t="s">
        <v>86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</row>
    <row r="34" spans="1:31" ht="47.25" x14ac:dyDescent="0.25">
      <c r="A34" s="115" t="s">
        <v>147</v>
      </c>
      <c r="B34" s="17" t="s">
        <v>142</v>
      </c>
      <c r="C34" s="17" t="s">
        <v>143</v>
      </c>
      <c r="D34" s="235" t="s">
        <v>45</v>
      </c>
      <c r="E34" s="19">
        <v>1</v>
      </c>
      <c r="F34" s="20">
        <v>2909327</v>
      </c>
      <c r="G34" s="20">
        <v>1679930.83</v>
      </c>
      <c r="H34" s="22">
        <v>1229799.1000000001</v>
      </c>
      <c r="I34" s="25">
        <v>0</v>
      </c>
      <c r="J34" s="20">
        <v>0</v>
      </c>
      <c r="K34" s="20">
        <v>371399.33</v>
      </c>
      <c r="L34" s="20">
        <v>78732.399999999994</v>
      </c>
      <c r="M34" s="20">
        <v>256286</v>
      </c>
      <c r="N34" s="20">
        <v>0</v>
      </c>
      <c r="O34" s="20">
        <v>12302.3</v>
      </c>
      <c r="P34" s="20">
        <v>0</v>
      </c>
      <c r="Q34" s="20">
        <v>0</v>
      </c>
      <c r="R34" s="20">
        <v>95087.8</v>
      </c>
      <c r="S34" s="20">
        <v>0</v>
      </c>
      <c r="T34" s="20">
        <v>334454.17</v>
      </c>
      <c r="U34" s="20">
        <v>0</v>
      </c>
      <c r="V34" s="20">
        <v>0</v>
      </c>
      <c r="W34" s="20">
        <v>0</v>
      </c>
      <c r="X34" s="20">
        <v>543568.19999999995</v>
      </c>
      <c r="Y34" s="20">
        <v>417487.1</v>
      </c>
      <c r="Z34" s="20">
        <v>0</v>
      </c>
      <c r="AA34" s="20">
        <v>0</v>
      </c>
      <c r="AB34" s="20">
        <v>126081.1</v>
      </c>
      <c r="AC34" s="20">
        <v>0</v>
      </c>
      <c r="AD34" s="20">
        <v>0</v>
      </c>
    </row>
  </sheetData>
  <mergeCells count="82">
    <mergeCell ref="A31:AE31"/>
    <mergeCell ref="A33:AE33"/>
    <mergeCell ref="A1:AE1"/>
    <mergeCell ref="A11:AE1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R5:R9"/>
    <mergeCell ref="S5:S9"/>
    <mergeCell ref="W5:W9"/>
    <mergeCell ref="X5:AC5"/>
    <mergeCell ref="AD5:AD9"/>
    <mergeCell ref="Z7:Z9"/>
    <mergeCell ref="AA7:AA9"/>
    <mergeCell ref="AB7:AB9"/>
    <mergeCell ref="AC7:AC9"/>
    <mergeCell ref="M8:M9"/>
    <mergeCell ref="N8:O8"/>
    <mergeCell ref="A14:AE14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V5:V9"/>
    <mergeCell ref="A17:AE17"/>
    <mergeCell ref="A21:AE21"/>
    <mergeCell ref="A23:A29"/>
    <mergeCell ref="B23:B29"/>
    <mergeCell ref="C23:E23"/>
    <mergeCell ref="F23:AD23"/>
    <mergeCell ref="C24:C29"/>
    <mergeCell ref="D24:D29"/>
    <mergeCell ref="E24:E29"/>
    <mergeCell ref="F24:F29"/>
    <mergeCell ref="G24:AD24"/>
    <mergeCell ref="G25:L25"/>
    <mergeCell ref="M25:O27"/>
    <mergeCell ref="P25:P29"/>
    <mergeCell ref="Q25:Q29"/>
    <mergeCell ref="R25:R29"/>
    <mergeCell ref="AD25:AD29"/>
    <mergeCell ref="Z27:Z29"/>
    <mergeCell ref="AA27:AA29"/>
    <mergeCell ref="AB27:AB29"/>
    <mergeCell ref="AC27:AC29"/>
    <mergeCell ref="Y26:AC26"/>
    <mergeCell ref="Y27:Y29"/>
    <mergeCell ref="X25:AC25"/>
    <mergeCell ref="M28:M29"/>
    <mergeCell ref="N28:O28"/>
    <mergeCell ref="G26:G29"/>
    <mergeCell ref="H26:L26"/>
    <mergeCell ref="X26:X29"/>
    <mergeCell ref="H27:H29"/>
    <mergeCell ref="I27:I29"/>
    <mergeCell ref="J27:J29"/>
    <mergeCell ref="K27:K29"/>
    <mergeCell ref="L27:L29"/>
    <mergeCell ref="S25:S29"/>
    <mergeCell ref="T25:T29"/>
    <mergeCell ref="U25:U29"/>
    <mergeCell ref="V25:V29"/>
    <mergeCell ref="W25:W29"/>
  </mergeCells>
  <pageMargins left="0.25" right="0.25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48"/>
  <sheetViews>
    <sheetView view="pageBreakPreview" zoomScale="70" zoomScaleNormal="55" zoomScaleSheetLayoutView="70" workbookViewId="0">
      <pane xSplit="5" ySplit="10" topLeftCell="X32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51.710937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8.1406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  <c r="C2" t="s">
        <v>85</v>
      </c>
    </row>
    <row r="3" spans="1:39" ht="15.75" customHeight="1" x14ac:dyDescent="0.25">
      <c r="A3" s="247" t="s">
        <v>0</v>
      </c>
      <c r="B3" s="243" t="s">
        <v>1</v>
      </c>
      <c r="C3" s="248" t="s">
        <v>2</v>
      </c>
      <c r="D3" s="248"/>
      <c r="E3" s="73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4</v>
      </c>
      <c r="AF3" s="243" t="s">
        <v>5</v>
      </c>
      <c r="AG3" s="244" t="s">
        <v>6</v>
      </c>
    </row>
    <row r="4" spans="1:39" ht="15.75" customHeight="1" x14ac:dyDescent="0.25">
      <c r="A4" s="238"/>
      <c r="B4" s="242"/>
      <c r="C4" s="249" t="s">
        <v>7</v>
      </c>
      <c r="D4" s="249" t="s">
        <v>8</v>
      </c>
      <c r="E4" s="249" t="s">
        <v>9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  <c r="AF4" s="242"/>
      <c r="AG4" s="245"/>
    </row>
    <row r="5" spans="1:39" ht="15" customHeight="1" x14ac:dyDescent="0.25">
      <c r="A5" s="238"/>
      <c r="B5" s="242"/>
      <c r="C5" s="249"/>
      <c r="D5" s="249"/>
      <c r="E5" s="249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  <c r="AF5" s="242"/>
      <c r="AG5" s="245"/>
    </row>
    <row r="6" spans="1:39" ht="15.75" x14ac:dyDescent="0.25">
      <c r="A6" s="238"/>
      <c r="B6" s="242"/>
      <c r="C6" s="249"/>
      <c r="D6" s="249"/>
      <c r="E6" s="249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  <c r="AF6" s="242"/>
      <c r="AG6" s="245"/>
    </row>
    <row r="7" spans="1:39" ht="15" customHeight="1" x14ac:dyDescent="0.25">
      <c r="A7" s="238"/>
      <c r="B7" s="242"/>
      <c r="C7" s="249"/>
      <c r="D7" s="249"/>
      <c r="E7" s="249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  <c r="AF7" s="242"/>
      <c r="AG7" s="245"/>
    </row>
    <row r="8" spans="1:39" ht="15.75" x14ac:dyDescent="0.25">
      <c r="A8" s="238"/>
      <c r="B8" s="242"/>
      <c r="C8" s="249"/>
      <c r="D8" s="249"/>
      <c r="E8" s="249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  <c r="AF8" s="242"/>
      <c r="AG8" s="245"/>
    </row>
    <row r="9" spans="1:39" ht="87.75" customHeight="1" x14ac:dyDescent="0.25">
      <c r="A9" s="238"/>
      <c r="B9" s="242"/>
      <c r="C9" s="249"/>
      <c r="D9" s="249"/>
      <c r="E9" s="249"/>
      <c r="F9" s="246"/>
      <c r="G9" s="246"/>
      <c r="H9" s="242"/>
      <c r="I9" s="242"/>
      <c r="J9" s="242"/>
      <c r="K9" s="242"/>
      <c r="L9" s="242"/>
      <c r="M9" s="246"/>
      <c r="N9" s="71" t="s">
        <v>33</v>
      </c>
      <c r="O9" s="71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  <c r="AF9" s="242"/>
      <c r="AG9" s="245"/>
      <c r="AH9" s="44" t="s">
        <v>67</v>
      </c>
      <c r="AI9" s="45" t="s">
        <v>66</v>
      </c>
    </row>
    <row r="10" spans="1:39" ht="15.75" x14ac:dyDescent="0.25">
      <c r="A10" s="72">
        <v>1</v>
      </c>
      <c r="B10" s="78">
        <v>2</v>
      </c>
      <c r="C10" s="72">
        <v>3</v>
      </c>
      <c r="D10" s="78">
        <v>4</v>
      </c>
      <c r="E10" s="72">
        <v>5</v>
      </c>
      <c r="F10" s="78">
        <v>6</v>
      </c>
      <c r="G10" s="72">
        <v>7</v>
      </c>
      <c r="H10" s="78">
        <v>8</v>
      </c>
      <c r="I10" s="72">
        <v>9</v>
      </c>
      <c r="J10" s="78">
        <v>10</v>
      </c>
      <c r="K10" s="72">
        <v>11</v>
      </c>
      <c r="L10" s="78">
        <v>12</v>
      </c>
      <c r="M10" s="72">
        <v>13</v>
      </c>
      <c r="N10" s="78">
        <v>14</v>
      </c>
      <c r="O10" s="72">
        <v>15</v>
      </c>
      <c r="P10" s="78">
        <v>16</v>
      </c>
      <c r="Q10" s="72">
        <v>17</v>
      </c>
      <c r="R10" s="78">
        <v>18</v>
      </c>
      <c r="S10" s="72">
        <v>19</v>
      </c>
      <c r="T10" s="78">
        <v>20</v>
      </c>
      <c r="U10" s="72">
        <v>21</v>
      </c>
      <c r="V10" s="78">
        <v>22</v>
      </c>
      <c r="W10" s="72">
        <v>23</v>
      </c>
      <c r="X10" s="78">
        <v>24</v>
      </c>
      <c r="Y10" s="72">
        <v>25</v>
      </c>
      <c r="Z10" s="78">
        <v>26</v>
      </c>
      <c r="AA10" s="72">
        <v>27</v>
      </c>
      <c r="AB10" s="78">
        <v>28</v>
      </c>
      <c r="AC10" s="72">
        <v>29</v>
      </c>
      <c r="AD10" s="78">
        <v>30</v>
      </c>
      <c r="AE10" s="72">
        <v>31</v>
      </c>
      <c r="AF10" s="78">
        <v>32</v>
      </c>
      <c r="AG10" s="15"/>
      <c r="AH10" s="46"/>
    </row>
    <row r="11" spans="1:39" s="1" customFormat="1" ht="78.75" x14ac:dyDescent="0.25">
      <c r="A11" s="77" t="s">
        <v>35</v>
      </c>
      <c r="B11" s="17" t="s">
        <v>36</v>
      </c>
      <c r="C11" s="17" t="s">
        <v>37</v>
      </c>
      <c r="D11" s="18" t="s">
        <v>38</v>
      </c>
      <c r="E11" s="19">
        <v>105645</v>
      </c>
      <c r="F11" s="20">
        <f t="shared" ref="F11:F39" si="0">SUM(G11,M11,Q11,R11,S11,T11,V11,W11,X11,AD11,P11,U11)</f>
        <v>3723.4850000000001</v>
      </c>
      <c r="G11" s="20">
        <f t="shared" ref="G11:G39" si="1">SUM(H11:L11)</f>
        <v>1589.5900000000001</v>
      </c>
      <c r="H11" s="21">
        <v>1220.8800000000001</v>
      </c>
      <c r="I11" s="22">
        <v>0</v>
      </c>
      <c r="J11" s="22">
        <v>0</v>
      </c>
      <c r="K11" s="20">
        <f t="shared" ref="K11:K39" si="2">ROUND(H11*0.302,2)</f>
        <v>368.71</v>
      </c>
      <c r="L11" s="22">
        <v>0</v>
      </c>
      <c r="M11" s="22">
        <v>183.42</v>
      </c>
      <c r="N11" s="22">
        <v>0</v>
      </c>
      <c r="O11" s="22">
        <v>57.6</v>
      </c>
      <c r="P11" s="22">
        <v>0</v>
      </c>
      <c r="Q11" s="22">
        <v>0.94</v>
      </c>
      <c r="R11" s="21">
        <f>178.3-8.722</f>
        <v>169.578</v>
      </c>
      <c r="S11" s="22">
        <v>80.739999999999995</v>
      </c>
      <c r="T11" s="22">
        <f>536.1-193.554-4.129</f>
        <v>338.41700000000003</v>
      </c>
      <c r="U11" s="22">
        <v>0</v>
      </c>
      <c r="V11" s="22">
        <v>16.29</v>
      </c>
      <c r="W11" s="22">
        <v>0</v>
      </c>
      <c r="X11" s="20">
        <f t="shared" ref="X11:X39" si="3">SUM(Y11:AC11)</f>
        <v>1280.54</v>
      </c>
      <c r="Y11" s="22">
        <v>983.52</v>
      </c>
      <c r="Z11" s="22">
        <v>0</v>
      </c>
      <c r="AA11" s="22">
        <v>0</v>
      </c>
      <c r="AB11" s="20">
        <f t="shared" ref="AB11:AB38" si="4">ROUND(Y11*0.302,2)</f>
        <v>297.02</v>
      </c>
      <c r="AC11" s="22">
        <v>0</v>
      </c>
      <c r="AD11" s="22">
        <v>63.97</v>
      </c>
      <c r="AE11" s="20">
        <f t="shared" ref="AE11:AE43" si="5">ROUND(E11*F11/1000,1)</f>
        <v>393367.6</v>
      </c>
      <c r="AF11" s="22">
        <v>764</v>
      </c>
      <c r="AG11" s="241">
        <f>ROUND(AE11+AE12+AE13+AF11,1)</f>
        <v>410659.2</v>
      </c>
      <c r="AH11" s="47">
        <f>(G11+X11)*E11/1000</f>
        <v>303214.88385000004</v>
      </c>
      <c r="AI11" s="55">
        <v>303761.59672500001</v>
      </c>
      <c r="AJ11" s="6"/>
      <c r="AK11" s="55">
        <f>ROUND(AG11/1000,1)</f>
        <v>410.7</v>
      </c>
      <c r="AM11" s="8"/>
    </row>
    <row r="12" spans="1:39" s="1" customFormat="1" ht="63" x14ac:dyDescent="0.25">
      <c r="A12" s="77" t="s">
        <v>35</v>
      </c>
      <c r="B12" s="17" t="s">
        <v>39</v>
      </c>
      <c r="C12" s="17" t="s">
        <v>40</v>
      </c>
      <c r="D12" s="18" t="s">
        <v>38</v>
      </c>
      <c r="E12" s="19">
        <v>241</v>
      </c>
      <c r="F12" s="20">
        <f t="shared" si="0"/>
        <v>28605.63</v>
      </c>
      <c r="G12" s="20">
        <f t="shared" si="1"/>
        <v>24636.16</v>
      </c>
      <c r="H12" s="22">
        <v>18921.78</v>
      </c>
      <c r="I12" s="22">
        <v>0</v>
      </c>
      <c r="J12" s="22">
        <v>0</v>
      </c>
      <c r="K12" s="20">
        <f t="shared" si="2"/>
        <v>5714.38</v>
      </c>
      <c r="L12" s="22">
        <v>0</v>
      </c>
      <c r="M12" s="22">
        <v>189.48</v>
      </c>
      <c r="N12" s="22">
        <v>0</v>
      </c>
      <c r="O12" s="22">
        <v>34.67</v>
      </c>
      <c r="P12" s="22">
        <v>0</v>
      </c>
      <c r="Q12" s="22">
        <v>48.26</v>
      </c>
      <c r="R12" s="22">
        <v>102.89</v>
      </c>
      <c r="S12" s="22">
        <v>491.43</v>
      </c>
      <c r="T12" s="22">
        <v>208.81</v>
      </c>
      <c r="U12" s="22">
        <v>0</v>
      </c>
      <c r="V12" s="22">
        <v>11.49</v>
      </c>
      <c r="W12" s="22">
        <v>0</v>
      </c>
      <c r="X12" s="20">
        <f t="shared" si="3"/>
        <v>2422.62</v>
      </c>
      <c r="Y12" s="22">
        <v>1860.69</v>
      </c>
      <c r="Z12" s="22">
        <v>0</v>
      </c>
      <c r="AA12" s="22">
        <v>0</v>
      </c>
      <c r="AB12" s="20">
        <f t="shared" si="4"/>
        <v>561.92999999999995</v>
      </c>
      <c r="AC12" s="22">
        <v>0</v>
      </c>
      <c r="AD12" s="22">
        <v>494.49</v>
      </c>
      <c r="AE12" s="20">
        <f t="shared" si="5"/>
        <v>6894</v>
      </c>
      <c r="AF12" s="22">
        <v>0</v>
      </c>
      <c r="AG12" s="241"/>
      <c r="AH12" s="47">
        <f t="shared" ref="AH12:AH41" si="6">(G12+X12)*E12/1000</f>
        <v>6521.1659799999998</v>
      </c>
      <c r="AI12" s="55">
        <v>6532.9231650000002</v>
      </c>
      <c r="AJ12" s="6"/>
      <c r="AK12" s="7"/>
      <c r="AM12" s="8"/>
    </row>
    <row r="13" spans="1:39" s="1" customFormat="1" ht="56.25" x14ac:dyDescent="0.25">
      <c r="A13" s="23" t="s">
        <v>35</v>
      </c>
      <c r="B13" s="17" t="s">
        <v>41</v>
      </c>
      <c r="C13" s="79" t="s">
        <v>42</v>
      </c>
      <c r="D13" s="18" t="s">
        <v>38</v>
      </c>
      <c r="E13" s="19">
        <v>90</v>
      </c>
      <c r="F13" s="20">
        <f t="shared" si="0"/>
        <v>107039.45800000003</v>
      </c>
      <c r="G13" s="20">
        <f t="shared" si="1"/>
        <v>74208.350000000006</v>
      </c>
      <c r="H13" s="21">
        <v>56995.66</v>
      </c>
      <c r="I13" s="22">
        <v>0</v>
      </c>
      <c r="J13" s="22">
        <v>0</v>
      </c>
      <c r="K13" s="20">
        <f t="shared" si="2"/>
        <v>17212.689999999999</v>
      </c>
      <c r="L13" s="22">
        <v>0</v>
      </c>
      <c r="M13" s="22">
        <v>801.29</v>
      </c>
      <c r="N13" s="22">
        <v>0</v>
      </c>
      <c r="O13" s="22">
        <v>72.95</v>
      </c>
      <c r="P13" s="22">
        <v>0</v>
      </c>
      <c r="Q13" s="22">
        <f>10860.04-1662.222</f>
        <v>9197.8180000000011</v>
      </c>
      <c r="R13" s="22">
        <v>406.32</v>
      </c>
      <c r="S13" s="22">
        <v>1071.46</v>
      </c>
      <c r="T13" s="22">
        <f>12539.1-2500-1500</f>
        <v>8539.1</v>
      </c>
      <c r="U13" s="22">
        <v>0</v>
      </c>
      <c r="V13" s="22">
        <v>58.87</v>
      </c>
      <c r="W13" s="22">
        <v>0</v>
      </c>
      <c r="X13" s="20">
        <f t="shared" si="3"/>
        <v>10444.540000000001</v>
      </c>
      <c r="Y13" s="22">
        <v>8021.92</v>
      </c>
      <c r="Z13" s="22">
        <v>0</v>
      </c>
      <c r="AA13" s="22">
        <v>0</v>
      </c>
      <c r="AB13" s="20">
        <f t="shared" si="4"/>
        <v>2422.62</v>
      </c>
      <c r="AC13" s="22">
        <v>0</v>
      </c>
      <c r="AD13" s="22">
        <v>2311.71</v>
      </c>
      <c r="AE13" s="20">
        <f t="shared" si="5"/>
        <v>9633.6</v>
      </c>
      <c r="AF13" s="22">
        <v>0</v>
      </c>
      <c r="AG13" s="241"/>
      <c r="AH13" s="47">
        <f t="shared" si="6"/>
        <v>7618.7601000000013</v>
      </c>
      <c r="AI13" s="55">
        <v>7632.4994999999999</v>
      </c>
      <c r="AJ13" s="6"/>
      <c r="AK13" s="7"/>
      <c r="AM13" s="8"/>
    </row>
    <row r="14" spans="1:39" s="1" customFormat="1" ht="78.75" x14ac:dyDescent="0.25">
      <c r="A14" s="77" t="s">
        <v>43</v>
      </c>
      <c r="B14" s="17" t="s">
        <v>36</v>
      </c>
      <c r="C14" s="17" t="s">
        <v>37</v>
      </c>
      <c r="D14" s="17" t="s">
        <v>38</v>
      </c>
      <c r="E14" s="19">
        <v>48175</v>
      </c>
      <c r="F14" s="20">
        <f t="shared" si="0"/>
        <v>3900.0369999999998</v>
      </c>
      <c r="G14" s="20">
        <f t="shared" si="1"/>
        <v>1869.5500000000002</v>
      </c>
      <c r="H14" s="20">
        <v>1435.91</v>
      </c>
      <c r="I14" s="25">
        <v>0</v>
      </c>
      <c r="J14" s="25">
        <v>0</v>
      </c>
      <c r="K14" s="20">
        <f t="shared" si="2"/>
        <v>433.64</v>
      </c>
      <c r="L14" s="25">
        <v>0</v>
      </c>
      <c r="M14" s="21">
        <f>222.16+0.002-75.975</f>
        <v>146.18700000000001</v>
      </c>
      <c r="N14" s="20">
        <v>62.28</v>
      </c>
      <c r="O14" s="25">
        <v>3.21</v>
      </c>
      <c r="P14" s="26">
        <v>0</v>
      </c>
      <c r="Q14" s="25">
        <v>147.99</v>
      </c>
      <c r="R14" s="20">
        <f>278.9-80</f>
        <v>198.89999999999998</v>
      </c>
      <c r="S14" s="25">
        <f>115.22-50</f>
        <v>65.22</v>
      </c>
      <c r="T14" s="25">
        <v>94.58</v>
      </c>
      <c r="U14" s="20">
        <v>0</v>
      </c>
      <c r="V14" s="25">
        <v>19.53</v>
      </c>
      <c r="W14" s="25">
        <v>0</v>
      </c>
      <c r="X14" s="20">
        <f t="shared" si="3"/>
        <v>1209.68</v>
      </c>
      <c r="Y14" s="27">
        <v>929.09</v>
      </c>
      <c r="Z14" s="27">
        <v>0</v>
      </c>
      <c r="AA14" s="27">
        <v>0</v>
      </c>
      <c r="AB14" s="20">
        <f t="shared" si="4"/>
        <v>280.58999999999997</v>
      </c>
      <c r="AC14" s="25">
        <v>0</v>
      </c>
      <c r="AD14" s="25">
        <v>148.4</v>
      </c>
      <c r="AE14" s="20">
        <f t="shared" si="5"/>
        <v>187884.3</v>
      </c>
      <c r="AF14" s="25">
        <v>303.10000000000002</v>
      </c>
      <c r="AG14" s="237">
        <f>ROUND(AE14+AE15+AE16+AF14,1)</f>
        <v>195664.4</v>
      </c>
      <c r="AH14" s="47">
        <f t="shared" si="6"/>
        <v>148341.90525000004</v>
      </c>
      <c r="AI14" s="55">
        <v>148609.517375</v>
      </c>
      <c r="AJ14" s="6"/>
      <c r="AK14" s="55">
        <f>ROUND(AG14/1000,1)</f>
        <v>195.7</v>
      </c>
      <c r="AM14" s="8"/>
    </row>
    <row r="15" spans="1:39" s="1" customFormat="1" ht="63" x14ac:dyDescent="0.25">
      <c r="A15" s="77" t="s">
        <v>43</v>
      </c>
      <c r="B15" s="17" t="s">
        <v>39</v>
      </c>
      <c r="C15" s="17" t="s">
        <v>40</v>
      </c>
      <c r="D15" s="17" t="s">
        <v>38</v>
      </c>
      <c r="E15" s="19">
        <v>233</v>
      </c>
      <c r="F15" s="20">
        <f t="shared" si="0"/>
        <v>29296.207000000002</v>
      </c>
      <c r="G15" s="20">
        <f t="shared" si="1"/>
        <v>3810.9300000000003</v>
      </c>
      <c r="H15" s="20">
        <v>2926.98</v>
      </c>
      <c r="I15" s="25">
        <v>0</v>
      </c>
      <c r="J15" s="25">
        <v>0</v>
      </c>
      <c r="K15" s="20">
        <f t="shared" si="2"/>
        <v>883.95</v>
      </c>
      <c r="L15" s="25">
        <v>0</v>
      </c>
      <c r="M15" s="25">
        <v>6622.04</v>
      </c>
      <c r="N15" s="20">
        <v>5855.04</v>
      </c>
      <c r="O15" s="25">
        <v>663.14</v>
      </c>
      <c r="P15" s="26">
        <v>0</v>
      </c>
      <c r="Q15" s="25">
        <v>2374.46</v>
      </c>
      <c r="R15" s="20">
        <v>173.34</v>
      </c>
      <c r="S15" s="25">
        <v>106.16</v>
      </c>
      <c r="T15" s="25">
        <v>48.95</v>
      </c>
      <c r="U15" s="20">
        <v>0</v>
      </c>
      <c r="V15" s="25">
        <v>37.92</v>
      </c>
      <c r="W15" s="25">
        <f>15570.82-303.863</f>
        <v>15266.957</v>
      </c>
      <c r="X15" s="20">
        <f t="shared" si="3"/>
        <v>730.08</v>
      </c>
      <c r="Y15" s="27">
        <v>560.74</v>
      </c>
      <c r="Z15" s="27">
        <v>0</v>
      </c>
      <c r="AA15" s="27">
        <v>0</v>
      </c>
      <c r="AB15" s="20">
        <f t="shared" si="4"/>
        <v>169.34</v>
      </c>
      <c r="AC15" s="25">
        <v>0</v>
      </c>
      <c r="AD15" s="25">
        <v>125.37</v>
      </c>
      <c r="AE15" s="20">
        <f t="shared" si="5"/>
        <v>6826</v>
      </c>
      <c r="AF15" s="25">
        <v>0</v>
      </c>
      <c r="AG15" s="237"/>
      <c r="AH15" s="47">
        <f t="shared" si="6"/>
        <v>1058.0553300000001</v>
      </c>
      <c r="AI15" s="55">
        <v>1059.961969</v>
      </c>
      <c r="AJ15" s="6"/>
      <c r="AK15" s="7"/>
      <c r="AM15" s="8"/>
    </row>
    <row r="16" spans="1:39" s="1" customFormat="1" ht="47.25" x14ac:dyDescent="0.25">
      <c r="A16" s="77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0"/>
        <v>325511.30000000005</v>
      </c>
      <c r="G16" s="20">
        <f t="shared" si="1"/>
        <v>304655.01</v>
      </c>
      <c r="H16" s="20">
        <v>233990.02</v>
      </c>
      <c r="I16" s="20">
        <v>0</v>
      </c>
      <c r="J16" s="20">
        <v>0</v>
      </c>
      <c r="K16" s="20">
        <f t="shared" si="2"/>
        <v>70664.990000000005</v>
      </c>
      <c r="L16" s="20">
        <v>0</v>
      </c>
      <c r="M16" s="20">
        <f>37469.15-20550</f>
        <v>16919.150000000001</v>
      </c>
      <c r="N16" s="20">
        <v>0</v>
      </c>
      <c r="O16" s="20">
        <v>1719.15</v>
      </c>
      <c r="P16" s="20">
        <v>0</v>
      </c>
      <c r="Q16" s="20">
        <v>800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3"/>
        <v>2468.83</v>
      </c>
      <c r="Y16" s="20">
        <v>1896.18</v>
      </c>
      <c r="Z16" s="20">
        <v>0</v>
      </c>
      <c r="AA16" s="20">
        <v>0</v>
      </c>
      <c r="AB16" s="20">
        <f t="shared" si="4"/>
        <v>572.65</v>
      </c>
      <c r="AC16" s="25">
        <v>0</v>
      </c>
      <c r="AD16" s="25">
        <v>0</v>
      </c>
      <c r="AE16" s="20">
        <f t="shared" si="5"/>
        <v>651</v>
      </c>
      <c r="AF16" s="20">
        <v>0</v>
      </c>
      <c r="AG16" s="237"/>
      <c r="AH16" s="47">
        <f t="shared" si="6"/>
        <v>614.24768000000006</v>
      </c>
      <c r="AI16" s="55">
        <v>615.35543400000006</v>
      </c>
      <c r="AJ16" s="6"/>
      <c r="AK16" s="7"/>
      <c r="AM16" s="8"/>
    </row>
    <row r="17" spans="1:39" s="1" customFormat="1" ht="78.75" x14ac:dyDescent="0.25">
      <c r="A17" s="77" t="s">
        <v>44</v>
      </c>
      <c r="B17" s="17" t="s">
        <v>36</v>
      </c>
      <c r="C17" s="17" t="s">
        <v>37</v>
      </c>
      <c r="D17" s="17" t="s">
        <v>45</v>
      </c>
      <c r="E17" s="19">
        <v>81788</v>
      </c>
      <c r="F17" s="20">
        <f t="shared" si="0"/>
        <v>2621.4280000000003</v>
      </c>
      <c r="G17" s="20">
        <f t="shared" si="1"/>
        <v>1482.68</v>
      </c>
      <c r="H17" s="20">
        <v>1138.77</v>
      </c>
      <c r="I17" s="25">
        <v>0</v>
      </c>
      <c r="J17" s="25">
        <v>0</v>
      </c>
      <c r="K17" s="20">
        <f t="shared" si="2"/>
        <v>343.91</v>
      </c>
      <c r="L17" s="25">
        <v>0</v>
      </c>
      <c r="M17" s="21">
        <f>302.21-0.001-70</f>
        <v>232.209</v>
      </c>
      <c r="N17" s="25">
        <v>68.38</v>
      </c>
      <c r="O17" s="25">
        <v>52.79</v>
      </c>
      <c r="P17" s="26">
        <v>0</v>
      </c>
      <c r="Q17" s="25">
        <v>66.58</v>
      </c>
      <c r="R17" s="25">
        <v>79.959999999999994</v>
      </c>
      <c r="S17" s="25">
        <f>225.33-63.941</f>
        <v>161.38900000000001</v>
      </c>
      <c r="T17" s="25">
        <v>49.11</v>
      </c>
      <c r="U17" s="20">
        <v>0</v>
      </c>
      <c r="V17" s="25">
        <v>10.41</v>
      </c>
      <c r="W17" s="25">
        <v>0</v>
      </c>
      <c r="X17" s="20">
        <f t="shared" si="3"/>
        <v>519.68999999999994</v>
      </c>
      <c r="Y17" s="27">
        <v>399.15</v>
      </c>
      <c r="Z17" s="25">
        <v>0</v>
      </c>
      <c r="AA17" s="25">
        <v>0</v>
      </c>
      <c r="AB17" s="20">
        <f t="shared" si="4"/>
        <v>120.54</v>
      </c>
      <c r="AC17" s="25">
        <v>0</v>
      </c>
      <c r="AD17" s="25">
        <v>19.399999999999999</v>
      </c>
      <c r="AE17" s="20">
        <f t="shared" si="5"/>
        <v>214401.4</v>
      </c>
      <c r="AF17" s="25">
        <v>408.5</v>
      </c>
      <c r="AG17" s="237">
        <f>ROUND(AE17+AE18+AE19+AF17,1)</f>
        <v>220495</v>
      </c>
      <c r="AH17" s="47">
        <f t="shared" si="6"/>
        <v>163769.83756000001</v>
      </c>
      <c r="AI17" s="55">
        <v>164065.17402799998</v>
      </c>
      <c r="AJ17" s="6"/>
      <c r="AK17" s="55">
        <f>ROUND(AG17/1000,1)</f>
        <v>220.5</v>
      </c>
      <c r="AM17" s="8"/>
    </row>
    <row r="18" spans="1:39" s="1" customFormat="1" ht="63" x14ac:dyDescent="0.25">
      <c r="A18" s="77" t="s">
        <v>44</v>
      </c>
      <c r="B18" s="17" t="s">
        <v>39</v>
      </c>
      <c r="C18" s="17" t="s">
        <v>40</v>
      </c>
      <c r="D18" s="17" t="s">
        <v>45</v>
      </c>
      <c r="E18" s="19">
        <v>300</v>
      </c>
      <c r="F18" s="20">
        <f t="shared" si="0"/>
        <v>17329.592999999997</v>
      </c>
      <c r="G18" s="20">
        <f t="shared" si="1"/>
        <v>12422.369999999999</v>
      </c>
      <c r="H18" s="20">
        <v>9540.99</v>
      </c>
      <c r="I18" s="25">
        <v>0</v>
      </c>
      <c r="J18" s="25">
        <v>0</v>
      </c>
      <c r="K18" s="20">
        <f t="shared" si="2"/>
        <v>2881.38</v>
      </c>
      <c r="L18" s="25">
        <v>0</v>
      </c>
      <c r="M18" s="25">
        <v>1141.67</v>
      </c>
      <c r="N18" s="25">
        <v>500</v>
      </c>
      <c r="O18" s="25">
        <v>466.67</v>
      </c>
      <c r="P18" s="26">
        <v>0</v>
      </c>
      <c r="Q18" s="25">
        <v>233.33</v>
      </c>
      <c r="R18" s="25">
        <v>205.23</v>
      </c>
      <c r="S18" s="25">
        <f>1815.12-924.667</f>
        <v>890.45299999999986</v>
      </c>
      <c r="T18" s="25">
        <v>0</v>
      </c>
      <c r="U18" s="20">
        <v>0</v>
      </c>
      <c r="V18" s="25">
        <v>68.83</v>
      </c>
      <c r="W18" s="25">
        <v>0</v>
      </c>
      <c r="X18" s="20">
        <f t="shared" si="3"/>
        <v>1401.04</v>
      </c>
      <c r="Y18" s="27">
        <v>1076.07</v>
      </c>
      <c r="Z18" s="25">
        <v>0</v>
      </c>
      <c r="AA18" s="25">
        <v>0</v>
      </c>
      <c r="AB18" s="20">
        <f t="shared" si="4"/>
        <v>324.97000000000003</v>
      </c>
      <c r="AC18" s="25">
        <v>0</v>
      </c>
      <c r="AD18" s="25">
        <v>966.67</v>
      </c>
      <c r="AE18" s="20">
        <f t="shared" si="5"/>
        <v>5198.8999999999996</v>
      </c>
      <c r="AF18" s="25">
        <v>0</v>
      </c>
      <c r="AG18" s="237"/>
      <c r="AH18" s="47">
        <f t="shared" si="6"/>
        <v>4147.0230000000001</v>
      </c>
      <c r="AI18" s="55">
        <v>4154.4998999999998</v>
      </c>
      <c r="AJ18" s="6"/>
      <c r="AK18" s="7"/>
      <c r="AM18" s="8"/>
    </row>
    <row r="19" spans="1:39" s="1" customFormat="1" ht="47.25" x14ac:dyDescent="0.25">
      <c r="A19" s="77" t="s">
        <v>44</v>
      </c>
      <c r="B19" s="17" t="s">
        <v>41</v>
      </c>
      <c r="C19" s="17" t="s">
        <v>42</v>
      </c>
      <c r="D19" s="17" t="s">
        <v>38</v>
      </c>
      <c r="E19" s="19">
        <v>1</v>
      </c>
      <c r="F19" s="20">
        <f t="shared" si="0"/>
        <v>486225.52</v>
      </c>
      <c r="G19" s="20">
        <f t="shared" si="1"/>
        <v>267387.26</v>
      </c>
      <c r="H19" s="20">
        <v>205366.56</v>
      </c>
      <c r="I19" s="25">
        <v>0</v>
      </c>
      <c r="J19" s="25">
        <v>0</v>
      </c>
      <c r="K19" s="20">
        <f t="shared" si="2"/>
        <v>62020.7</v>
      </c>
      <c r="L19" s="25">
        <v>0</v>
      </c>
      <c r="M19" s="25">
        <f>115010-22300</f>
        <v>92710</v>
      </c>
      <c r="N19" s="25">
        <f>M19-O19</f>
        <v>89910</v>
      </c>
      <c r="O19" s="25">
        <v>2800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1574.3</v>
      </c>
      <c r="X19" s="20">
        <f t="shared" si="3"/>
        <v>66846.820000000007</v>
      </c>
      <c r="Y19" s="25">
        <v>51341.64</v>
      </c>
      <c r="Z19" s="20">
        <v>0</v>
      </c>
      <c r="AA19" s="27">
        <v>0</v>
      </c>
      <c r="AB19" s="20">
        <f t="shared" si="4"/>
        <v>15505.18</v>
      </c>
      <c r="AC19" s="25">
        <v>0</v>
      </c>
      <c r="AD19" s="25">
        <v>20000</v>
      </c>
      <c r="AE19" s="20">
        <f t="shared" si="5"/>
        <v>486.2</v>
      </c>
      <c r="AF19" s="25">
        <v>0</v>
      </c>
      <c r="AG19" s="237"/>
      <c r="AH19" s="47">
        <f t="shared" si="6"/>
        <v>334.23408000000001</v>
      </c>
      <c r="AI19" s="55">
        <v>334.83684499999998</v>
      </c>
      <c r="AJ19" s="6"/>
      <c r="AK19" s="7"/>
      <c r="AM19" s="8"/>
    </row>
    <row r="20" spans="1:39" s="1" customFormat="1" ht="78.75" x14ac:dyDescent="0.25">
      <c r="A20" s="77" t="s">
        <v>46</v>
      </c>
      <c r="B20" s="78" t="s">
        <v>36</v>
      </c>
      <c r="C20" s="17" t="s">
        <v>37</v>
      </c>
      <c r="D20" s="78" t="s">
        <v>45</v>
      </c>
      <c r="E20" s="19">
        <v>34637</v>
      </c>
      <c r="F20" s="20">
        <f t="shared" si="0"/>
        <v>7988.7437858070862</v>
      </c>
      <c r="G20" s="20">
        <f>SUM(H20:L20)</f>
        <v>4750.2567858070852</v>
      </c>
      <c r="H20" s="20">
        <v>3598.5</v>
      </c>
      <c r="I20" s="20">
        <v>0</v>
      </c>
      <c r="J20" s="20">
        <v>0</v>
      </c>
      <c r="K20" s="20">
        <f>ROUND(H20*0.302,2)</f>
        <v>1086.75</v>
      </c>
      <c r="L20" s="20">
        <v>65.00678580708491</v>
      </c>
      <c r="M20" s="21">
        <f>893.3-0.013-421.379-6.461</f>
        <v>465.44699999999989</v>
      </c>
      <c r="N20" s="20">
        <v>196.17</v>
      </c>
      <c r="O20" s="20">
        <v>26.16</v>
      </c>
      <c r="P20" s="26">
        <v>0</v>
      </c>
      <c r="Q20" s="20">
        <v>0</v>
      </c>
      <c r="R20" s="20">
        <v>269.27</v>
      </c>
      <c r="S20" s="20">
        <v>382.56</v>
      </c>
      <c r="T20" s="20">
        <v>451.37</v>
      </c>
      <c r="U20" s="20">
        <v>0</v>
      </c>
      <c r="V20" s="20">
        <v>9.2200000000000006</v>
      </c>
      <c r="W20" s="20">
        <v>1.47</v>
      </c>
      <c r="X20" s="20">
        <f>SUM(Y20:AC20)</f>
        <v>1614.48</v>
      </c>
      <c r="Y20" s="27">
        <v>1240</v>
      </c>
      <c r="Z20" s="20">
        <v>0</v>
      </c>
      <c r="AA20" s="20">
        <v>0</v>
      </c>
      <c r="AB20" s="20">
        <f>ROUND(Y20*0.302,2)</f>
        <v>374.48</v>
      </c>
      <c r="AC20" s="25">
        <v>0</v>
      </c>
      <c r="AD20" s="25">
        <v>44.67</v>
      </c>
      <c r="AE20" s="20">
        <f t="shared" si="5"/>
        <v>276706.09999999998</v>
      </c>
      <c r="AF20" s="20">
        <v>153.9</v>
      </c>
      <c r="AG20" s="237">
        <f>ROUND(AE20+AE21+AE22+AF20,1)</f>
        <v>284223</v>
      </c>
      <c r="AH20" s="47">
        <f t="shared" si="6"/>
        <v>220455.38804999998</v>
      </c>
      <c r="AI20" s="55">
        <v>220848.72582200001</v>
      </c>
      <c r="AJ20" s="6"/>
      <c r="AK20" s="55">
        <f>ROUND(AG20/1000,1)</f>
        <v>284.2</v>
      </c>
      <c r="AM20" s="8"/>
    </row>
    <row r="21" spans="1:39" s="1" customFormat="1" ht="63" x14ac:dyDescent="0.25">
      <c r="A21" s="77" t="s">
        <v>46</v>
      </c>
      <c r="B21" s="78" t="s">
        <v>39</v>
      </c>
      <c r="C21" s="17" t="s">
        <v>40</v>
      </c>
      <c r="D21" s="78" t="s">
        <v>45</v>
      </c>
      <c r="E21" s="19">
        <v>173</v>
      </c>
      <c r="F21" s="20">
        <f t="shared" si="0"/>
        <v>22609.595202312135</v>
      </c>
      <c r="G21" s="20">
        <f t="shared" si="1"/>
        <v>14342.825202312139</v>
      </c>
      <c r="H21" s="20">
        <v>10349.94</v>
      </c>
      <c r="I21" s="20">
        <v>0</v>
      </c>
      <c r="J21" s="20">
        <v>0</v>
      </c>
      <c r="K21" s="20">
        <f t="shared" si="2"/>
        <v>3125.68</v>
      </c>
      <c r="L21" s="20">
        <v>867.20520231213857</v>
      </c>
      <c r="M21" s="20">
        <f>717.48-200</f>
        <v>517.48</v>
      </c>
      <c r="N21" s="20">
        <v>433.53</v>
      </c>
      <c r="O21" s="20">
        <v>0</v>
      </c>
      <c r="P21" s="26">
        <v>0</v>
      </c>
      <c r="Q21" s="20">
        <v>0</v>
      </c>
      <c r="R21" s="20">
        <f>1597.77-1167.63</f>
        <v>430.13999999999987</v>
      </c>
      <c r="S21" s="20">
        <v>0</v>
      </c>
      <c r="T21" s="20">
        <v>0</v>
      </c>
      <c r="U21" s="20">
        <v>0</v>
      </c>
      <c r="V21" s="20">
        <v>28.65</v>
      </c>
      <c r="W21" s="20">
        <v>86.36</v>
      </c>
      <c r="X21" s="20">
        <f t="shared" si="3"/>
        <v>6972.93</v>
      </c>
      <c r="Y21" s="27">
        <v>5355.55</v>
      </c>
      <c r="Z21" s="20">
        <v>0</v>
      </c>
      <c r="AA21" s="20">
        <v>0</v>
      </c>
      <c r="AB21" s="20">
        <f t="shared" si="4"/>
        <v>1617.38</v>
      </c>
      <c r="AC21" s="25">
        <v>0</v>
      </c>
      <c r="AD21" s="25">
        <v>231.21</v>
      </c>
      <c r="AE21" s="20">
        <f t="shared" si="5"/>
        <v>3911.5</v>
      </c>
      <c r="AF21" s="20">
        <v>0</v>
      </c>
      <c r="AG21" s="237"/>
      <c r="AH21" s="47">
        <f t="shared" si="6"/>
        <v>3687.62565</v>
      </c>
      <c r="AI21" s="55">
        <v>3694.0053710000002</v>
      </c>
      <c r="AJ21" s="6"/>
      <c r="AK21" s="7"/>
      <c r="AM21" s="8"/>
    </row>
    <row r="22" spans="1:39" s="1" customFormat="1" ht="47.25" x14ac:dyDescent="0.25">
      <c r="A22" s="77" t="s">
        <v>46</v>
      </c>
      <c r="B22" s="17" t="s">
        <v>41</v>
      </c>
      <c r="C22" s="17" t="s">
        <v>42</v>
      </c>
      <c r="D22" s="78" t="s">
        <v>38</v>
      </c>
      <c r="E22" s="19">
        <v>16</v>
      </c>
      <c r="F22" s="20">
        <f t="shared" si="0"/>
        <v>215716.48125000001</v>
      </c>
      <c r="G22" s="20">
        <f t="shared" si="1"/>
        <v>148447.47125</v>
      </c>
      <c r="H22" s="20">
        <v>112710.94</v>
      </c>
      <c r="I22" s="20">
        <v>0</v>
      </c>
      <c r="J22" s="20">
        <v>0</v>
      </c>
      <c r="K22" s="20">
        <f t="shared" si="2"/>
        <v>34038.699999999997</v>
      </c>
      <c r="L22" s="20">
        <f>1881.58125-183.75</f>
        <v>1697.83125</v>
      </c>
      <c r="M22" s="20">
        <v>1995.67</v>
      </c>
      <c r="N22" s="20">
        <v>937.5</v>
      </c>
      <c r="O22" s="20">
        <v>0</v>
      </c>
      <c r="P22" s="20">
        <v>0</v>
      </c>
      <c r="Q22" s="20">
        <v>0</v>
      </c>
      <c r="R22" s="20">
        <f>2620.25-25</f>
        <v>2595.25</v>
      </c>
      <c r="S22" s="20">
        <v>0</v>
      </c>
      <c r="T22" s="20">
        <v>0</v>
      </c>
      <c r="U22" s="20">
        <v>0</v>
      </c>
      <c r="V22" s="20">
        <v>0</v>
      </c>
      <c r="W22" s="20">
        <v>311.25</v>
      </c>
      <c r="X22" s="20">
        <f t="shared" si="3"/>
        <v>62366.840000000004</v>
      </c>
      <c r="Y22" s="20">
        <v>47900.800000000003</v>
      </c>
      <c r="Z22" s="20">
        <v>0</v>
      </c>
      <c r="AA22" s="20">
        <v>0</v>
      </c>
      <c r="AB22" s="20">
        <f t="shared" si="4"/>
        <v>14466.04</v>
      </c>
      <c r="AC22" s="25">
        <v>0</v>
      </c>
      <c r="AD22" s="25">
        <v>0</v>
      </c>
      <c r="AE22" s="20">
        <f t="shared" si="5"/>
        <v>3451.5</v>
      </c>
      <c r="AF22" s="20"/>
      <c r="AG22" s="237"/>
      <c r="AH22" s="47">
        <f t="shared" si="6"/>
        <v>3373.02898</v>
      </c>
      <c r="AI22" s="55">
        <v>3382.0031239999998</v>
      </c>
      <c r="AJ22" s="6"/>
      <c r="AK22" s="7"/>
      <c r="AM22" s="8"/>
    </row>
    <row r="23" spans="1:39" s="1" customFormat="1" ht="78.75" x14ac:dyDescent="0.25">
      <c r="A23" s="77" t="s">
        <v>47</v>
      </c>
      <c r="B23" s="17" t="s">
        <v>36</v>
      </c>
      <c r="C23" s="17" t="s">
        <v>37</v>
      </c>
      <c r="D23" s="28" t="s">
        <v>38</v>
      </c>
      <c r="E23" s="19">
        <v>42000</v>
      </c>
      <c r="F23" s="20">
        <f t="shared" si="0"/>
        <v>5387.1639999999989</v>
      </c>
      <c r="G23" s="20">
        <f t="shared" si="1"/>
        <v>3334.93</v>
      </c>
      <c r="H23" s="20">
        <v>2561.39</v>
      </c>
      <c r="I23" s="25">
        <v>0</v>
      </c>
      <c r="J23" s="25">
        <v>0</v>
      </c>
      <c r="K23" s="20">
        <f t="shared" si="2"/>
        <v>773.54</v>
      </c>
      <c r="L23" s="25">
        <v>0</v>
      </c>
      <c r="M23" s="21">
        <f>709.14-0.559-301.055+19.038</f>
        <v>426.56400000000002</v>
      </c>
      <c r="N23" s="25">
        <f>M23-O23</f>
        <v>412.16400000000004</v>
      </c>
      <c r="O23" s="25">
        <v>14.4</v>
      </c>
      <c r="P23" s="26">
        <v>0</v>
      </c>
      <c r="Q23" s="25">
        <v>155.81</v>
      </c>
      <c r="R23" s="25">
        <v>143.85</v>
      </c>
      <c r="S23" s="25">
        <v>332.73</v>
      </c>
      <c r="T23" s="25">
        <v>8.49</v>
      </c>
      <c r="U23" s="20">
        <v>0</v>
      </c>
      <c r="V23" s="25">
        <v>16.489999999999998</v>
      </c>
      <c r="W23" s="25">
        <v>65.44</v>
      </c>
      <c r="X23" s="20">
        <f t="shared" si="3"/>
        <v>881.13</v>
      </c>
      <c r="Y23" s="27">
        <v>676.75</v>
      </c>
      <c r="Z23" s="27">
        <v>0</v>
      </c>
      <c r="AA23" s="27">
        <v>0</v>
      </c>
      <c r="AB23" s="20">
        <f t="shared" si="4"/>
        <v>204.38</v>
      </c>
      <c r="AC23" s="25">
        <v>0</v>
      </c>
      <c r="AD23" s="25">
        <v>21.73</v>
      </c>
      <c r="AE23" s="20">
        <f t="shared" si="5"/>
        <v>226260.9</v>
      </c>
      <c r="AF23" s="27">
        <v>292.39999999999998</v>
      </c>
      <c r="AG23" s="237">
        <f>ROUND(AE23+AE24+AE25+AF23,1)</f>
        <v>241577.5</v>
      </c>
      <c r="AH23" s="47">
        <f t="shared" si="6"/>
        <v>177074.51999999996</v>
      </c>
      <c r="AI23" s="55">
        <v>177394.05600000001</v>
      </c>
      <c r="AJ23" s="6"/>
      <c r="AK23" s="55">
        <f>ROUND(AG23/1000,1)</f>
        <v>241.6</v>
      </c>
      <c r="AM23" s="8"/>
    </row>
    <row r="24" spans="1:39" s="1" customFormat="1" ht="63" x14ac:dyDescent="0.25">
      <c r="A24" s="77" t="s">
        <v>47</v>
      </c>
      <c r="B24" s="17" t="s">
        <v>39</v>
      </c>
      <c r="C24" s="17" t="s">
        <v>40</v>
      </c>
      <c r="D24" s="28" t="s">
        <v>38</v>
      </c>
      <c r="E24" s="19">
        <v>350</v>
      </c>
      <c r="F24" s="20">
        <f t="shared" si="0"/>
        <v>14365.869000000001</v>
      </c>
      <c r="G24" s="20">
        <f t="shared" si="1"/>
        <v>10698.78</v>
      </c>
      <c r="H24" s="20">
        <v>8217.19</v>
      </c>
      <c r="I24" s="25">
        <v>0</v>
      </c>
      <c r="J24" s="25">
        <v>0</v>
      </c>
      <c r="K24" s="20">
        <f t="shared" si="2"/>
        <v>2481.59</v>
      </c>
      <c r="L24" s="25">
        <v>0</v>
      </c>
      <c r="M24" s="25">
        <v>457.18</v>
      </c>
      <c r="N24" s="25">
        <v>0</v>
      </c>
      <c r="O24" s="25">
        <v>0</v>
      </c>
      <c r="P24" s="26">
        <v>0</v>
      </c>
      <c r="Q24" s="25">
        <f>2580.89-774.571</f>
        <v>1806.319</v>
      </c>
      <c r="R24" s="25">
        <v>143.85</v>
      </c>
      <c r="S24" s="25">
        <v>274.95</v>
      </c>
      <c r="T24" s="25">
        <v>0</v>
      </c>
      <c r="U24" s="20">
        <v>0</v>
      </c>
      <c r="V24" s="25">
        <v>16.489999999999998</v>
      </c>
      <c r="W24" s="25">
        <v>65.44</v>
      </c>
      <c r="X24" s="20">
        <f t="shared" si="3"/>
        <v>881.13</v>
      </c>
      <c r="Y24" s="27">
        <v>676.75</v>
      </c>
      <c r="Z24" s="27">
        <v>0</v>
      </c>
      <c r="AA24" s="27">
        <v>0</v>
      </c>
      <c r="AB24" s="20">
        <f t="shared" si="4"/>
        <v>204.38</v>
      </c>
      <c r="AC24" s="25">
        <v>0</v>
      </c>
      <c r="AD24" s="25">
        <v>21.73</v>
      </c>
      <c r="AE24" s="20">
        <f t="shared" si="5"/>
        <v>5028.1000000000004</v>
      </c>
      <c r="AF24" s="27">
        <v>0</v>
      </c>
      <c r="AG24" s="237"/>
      <c r="AH24" s="47">
        <f t="shared" si="6"/>
        <v>4052.9684999999999</v>
      </c>
      <c r="AI24" s="55">
        <v>4060.2775499999998</v>
      </c>
      <c r="AJ24" s="6"/>
      <c r="AK24" s="7"/>
      <c r="AM24" s="8"/>
    </row>
    <row r="25" spans="1:39" s="1" customFormat="1" ht="47.25" x14ac:dyDescent="0.25">
      <c r="A25" s="77" t="s">
        <v>47</v>
      </c>
      <c r="B25" s="17" t="s">
        <v>41</v>
      </c>
      <c r="C25" s="79" t="s">
        <v>42</v>
      </c>
      <c r="D25" s="28" t="s">
        <v>38</v>
      </c>
      <c r="E25" s="19">
        <v>104</v>
      </c>
      <c r="F25" s="20">
        <f t="shared" si="0"/>
        <v>96115.949000000008</v>
      </c>
      <c r="G25" s="20">
        <f t="shared" si="1"/>
        <v>75095.78</v>
      </c>
      <c r="H25" s="20">
        <v>57677.25</v>
      </c>
      <c r="I25" s="20">
        <v>0</v>
      </c>
      <c r="J25" s="20">
        <v>0</v>
      </c>
      <c r="K25" s="20">
        <f t="shared" si="2"/>
        <v>17418.53</v>
      </c>
      <c r="L25" s="20">
        <v>0</v>
      </c>
      <c r="M25" s="20">
        <v>397.62</v>
      </c>
      <c r="N25" s="20">
        <v>0</v>
      </c>
      <c r="O25" s="20">
        <v>0</v>
      </c>
      <c r="P25" s="20">
        <v>0</v>
      </c>
      <c r="Q25" s="20">
        <f>24301.11-5081.731</f>
        <v>19219.379000000001</v>
      </c>
      <c r="R25" s="20">
        <v>143.85</v>
      </c>
      <c r="S25" s="20">
        <v>274.52999999999997</v>
      </c>
      <c r="T25" s="20">
        <v>0</v>
      </c>
      <c r="U25" s="20">
        <v>0</v>
      </c>
      <c r="V25" s="20">
        <v>16.489999999999998</v>
      </c>
      <c r="W25" s="27">
        <v>65.44</v>
      </c>
      <c r="X25" s="20">
        <f t="shared" si="3"/>
        <v>881.13</v>
      </c>
      <c r="Y25" s="27">
        <v>676.75</v>
      </c>
      <c r="Z25" s="20">
        <v>0</v>
      </c>
      <c r="AA25" s="20">
        <v>0</v>
      </c>
      <c r="AB25" s="20">
        <f t="shared" si="4"/>
        <v>204.38</v>
      </c>
      <c r="AC25" s="25">
        <v>0</v>
      </c>
      <c r="AD25" s="25">
        <v>21.73</v>
      </c>
      <c r="AE25" s="20">
        <f t="shared" si="5"/>
        <v>9996.1</v>
      </c>
      <c r="AF25" s="20">
        <v>0</v>
      </c>
      <c r="AG25" s="237"/>
      <c r="AH25" s="47">
        <f t="shared" si="6"/>
        <v>7901.5986400000002</v>
      </c>
      <c r="AI25" s="55">
        <v>7915.8483040000001</v>
      </c>
      <c r="AJ25" s="6"/>
      <c r="AK25" s="7"/>
      <c r="AM25" s="8"/>
    </row>
    <row r="26" spans="1:39" s="1" customFormat="1" ht="78.75" x14ac:dyDescent="0.25">
      <c r="A26" s="77" t="s">
        <v>48</v>
      </c>
      <c r="B26" s="17" t="s">
        <v>49</v>
      </c>
      <c r="C26" s="17" t="s">
        <v>37</v>
      </c>
      <c r="D26" s="18" t="s">
        <v>38</v>
      </c>
      <c r="E26" s="19">
        <v>102546</v>
      </c>
      <c r="F26" s="20">
        <f t="shared" si="0"/>
        <v>2357.4720000000002</v>
      </c>
      <c r="G26" s="20">
        <f t="shared" si="1"/>
        <v>1942.75</v>
      </c>
      <c r="H26" s="20">
        <v>1492.13</v>
      </c>
      <c r="I26" s="25">
        <v>0</v>
      </c>
      <c r="J26" s="25">
        <v>0</v>
      </c>
      <c r="K26" s="20">
        <f t="shared" si="2"/>
        <v>450.62</v>
      </c>
      <c r="L26" s="25">
        <v>0</v>
      </c>
      <c r="M26" s="25">
        <v>64.680000000000007</v>
      </c>
      <c r="N26" s="25">
        <v>0</v>
      </c>
      <c r="O26" s="25">
        <v>22.31</v>
      </c>
      <c r="P26" s="26">
        <v>0</v>
      </c>
      <c r="Q26" s="25">
        <v>28.87</v>
      </c>
      <c r="R26" s="25">
        <v>30</v>
      </c>
      <c r="S26" s="25">
        <f>166.07-80-1.04</f>
        <v>85.029999999999987</v>
      </c>
      <c r="T26" s="25">
        <v>1</v>
      </c>
      <c r="U26" s="20">
        <v>0</v>
      </c>
      <c r="V26" s="25">
        <v>3.18</v>
      </c>
      <c r="W26" s="25">
        <v>0.37</v>
      </c>
      <c r="X26" s="20">
        <f t="shared" si="3"/>
        <v>129.63</v>
      </c>
      <c r="Y26" s="27">
        <v>99.56</v>
      </c>
      <c r="Z26" s="25">
        <v>0</v>
      </c>
      <c r="AA26" s="25">
        <v>0</v>
      </c>
      <c r="AB26" s="20">
        <f t="shared" si="4"/>
        <v>30.07</v>
      </c>
      <c r="AC26" s="25">
        <v>0</v>
      </c>
      <c r="AD26" s="25">
        <f>130.59-58.628</f>
        <v>71.962000000000003</v>
      </c>
      <c r="AE26" s="20">
        <f t="shared" si="5"/>
        <v>241749.3</v>
      </c>
      <c r="AF26" s="25">
        <v>517.9</v>
      </c>
      <c r="AG26" s="237">
        <f>ROUND(AE26+AE27+AE28+AF26,1)</f>
        <v>245364.2</v>
      </c>
      <c r="AH26" s="47">
        <f t="shared" si="6"/>
        <v>212514.27948000003</v>
      </c>
      <c r="AI26" s="55">
        <v>212897.59642799999</v>
      </c>
      <c r="AJ26" s="6"/>
      <c r="AK26" s="55">
        <f>ROUND(AG26/1000,1)</f>
        <v>245.4</v>
      </c>
      <c r="AM26" s="8"/>
    </row>
    <row r="27" spans="1:39" s="1" customFormat="1" ht="63" x14ac:dyDescent="0.25">
      <c r="A27" s="77" t="s">
        <v>48</v>
      </c>
      <c r="B27" s="17" t="s">
        <v>50</v>
      </c>
      <c r="C27" s="17" t="s">
        <v>40</v>
      </c>
      <c r="D27" s="18" t="s">
        <v>38</v>
      </c>
      <c r="E27" s="19">
        <v>331</v>
      </c>
      <c r="F27" s="20">
        <f t="shared" si="0"/>
        <v>4294.6490000000003</v>
      </c>
      <c r="G27" s="20">
        <f t="shared" si="1"/>
        <v>3629.2599999999998</v>
      </c>
      <c r="H27" s="20">
        <v>2787.45</v>
      </c>
      <c r="I27" s="25">
        <v>0</v>
      </c>
      <c r="J27" s="25">
        <v>0</v>
      </c>
      <c r="K27" s="20">
        <f t="shared" si="2"/>
        <v>841.81</v>
      </c>
      <c r="L27" s="25">
        <v>0</v>
      </c>
      <c r="M27" s="25">
        <f>415.94-250.151</f>
        <v>165.78899999999999</v>
      </c>
      <c r="N27" s="25">
        <v>0</v>
      </c>
      <c r="O27" s="25">
        <v>56.26</v>
      </c>
      <c r="P27" s="26">
        <v>0</v>
      </c>
      <c r="Q27" s="25">
        <v>2.83</v>
      </c>
      <c r="R27" s="25">
        <v>74.87</v>
      </c>
      <c r="S27" s="25">
        <v>20.37</v>
      </c>
      <c r="T27" s="25">
        <v>2.39</v>
      </c>
      <c r="U27" s="20">
        <v>0</v>
      </c>
      <c r="V27" s="25">
        <v>6.59</v>
      </c>
      <c r="W27" s="25">
        <v>0.76</v>
      </c>
      <c r="X27" s="20">
        <f t="shared" si="3"/>
        <v>109</v>
      </c>
      <c r="Y27" s="27">
        <v>83.72</v>
      </c>
      <c r="Z27" s="25">
        <v>0</v>
      </c>
      <c r="AA27" s="25">
        <v>0</v>
      </c>
      <c r="AB27" s="20">
        <f t="shared" si="4"/>
        <v>25.28</v>
      </c>
      <c r="AC27" s="25">
        <v>0</v>
      </c>
      <c r="AD27" s="25">
        <v>282.79000000000002</v>
      </c>
      <c r="AE27" s="20">
        <f t="shared" si="5"/>
        <v>1421.5</v>
      </c>
      <c r="AF27" s="25">
        <v>0</v>
      </c>
      <c r="AG27" s="237"/>
      <c r="AH27" s="47">
        <f t="shared" si="6"/>
        <v>1237.3640599999999</v>
      </c>
      <c r="AI27" s="55">
        <v>1239.5989719999998</v>
      </c>
      <c r="AJ27" s="6"/>
      <c r="AK27" s="7"/>
      <c r="AM27" s="8"/>
    </row>
    <row r="28" spans="1:39" s="1" customFormat="1" ht="47.25" x14ac:dyDescent="0.25">
      <c r="A28" s="77" t="s">
        <v>48</v>
      </c>
      <c r="B28" s="17" t="s">
        <v>41</v>
      </c>
      <c r="C28" s="79" t="s">
        <v>42</v>
      </c>
      <c r="D28" s="28" t="s">
        <v>38</v>
      </c>
      <c r="E28" s="19">
        <v>19</v>
      </c>
      <c r="F28" s="20">
        <f t="shared" si="0"/>
        <v>88183.31</v>
      </c>
      <c r="G28" s="20">
        <f t="shared" si="1"/>
        <v>83887.47</v>
      </c>
      <c r="H28" s="20">
        <v>64429.7</v>
      </c>
      <c r="I28" s="20">
        <v>0</v>
      </c>
      <c r="J28" s="20">
        <v>0</v>
      </c>
      <c r="K28" s="20">
        <f t="shared" si="2"/>
        <v>19457.77</v>
      </c>
      <c r="L28" s="20">
        <v>0</v>
      </c>
      <c r="M28" s="20">
        <v>403.44</v>
      </c>
      <c r="N28" s="20">
        <v>0</v>
      </c>
      <c r="O28" s="20">
        <v>403.44</v>
      </c>
      <c r="P28" s="20">
        <v>0</v>
      </c>
      <c r="Q28" s="20">
        <v>3802.59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48.8</v>
      </c>
      <c r="X28" s="20">
        <f t="shared" si="3"/>
        <v>0</v>
      </c>
      <c r="Y28" s="20">
        <v>0</v>
      </c>
      <c r="Z28" s="20">
        <v>0</v>
      </c>
      <c r="AA28" s="20">
        <v>0</v>
      </c>
      <c r="AB28" s="20">
        <f t="shared" si="4"/>
        <v>0</v>
      </c>
      <c r="AC28" s="25">
        <v>0</v>
      </c>
      <c r="AD28" s="25">
        <v>41.01</v>
      </c>
      <c r="AE28" s="20">
        <f t="shared" si="5"/>
        <v>1675.5</v>
      </c>
      <c r="AF28" s="20">
        <v>0</v>
      </c>
      <c r="AG28" s="237"/>
      <c r="AH28" s="47">
        <f t="shared" si="6"/>
        <v>1593.86193</v>
      </c>
      <c r="AI28" s="55">
        <v>1596.7364209999998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97600</v>
      </c>
      <c r="F29" s="20">
        <f t="shared" si="0"/>
        <v>3195.6299999999997</v>
      </c>
      <c r="G29" s="20">
        <f t="shared" si="1"/>
        <v>2122.7399999999998</v>
      </c>
      <c r="H29" s="20">
        <v>1630.37</v>
      </c>
      <c r="I29" s="30">
        <v>0</v>
      </c>
      <c r="J29" s="30">
        <v>0</v>
      </c>
      <c r="K29" s="20">
        <f t="shared" si="2"/>
        <v>492.37</v>
      </c>
      <c r="L29" s="30">
        <v>0</v>
      </c>
      <c r="M29" s="21">
        <f>372.3-0.002-168.458</f>
        <v>203.84</v>
      </c>
      <c r="N29" s="30">
        <v>115.96</v>
      </c>
      <c r="O29" s="30">
        <v>78.040000000000006</v>
      </c>
      <c r="P29" s="26">
        <v>0</v>
      </c>
      <c r="Q29" s="30">
        <v>98.77</v>
      </c>
      <c r="R29" s="30">
        <v>98.96</v>
      </c>
      <c r="S29" s="30">
        <v>129.22999999999999</v>
      </c>
      <c r="T29" s="30">
        <v>64.22</v>
      </c>
      <c r="U29" s="20">
        <v>0</v>
      </c>
      <c r="V29" s="30">
        <v>18.91</v>
      </c>
      <c r="W29" s="30">
        <v>0</v>
      </c>
      <c r="X29" s="20">
        <f t="shared" si="3"/>
        <v>395.77000000000004</v>
      </c>
      <c r="Y29" s="27">
        <v>303.97000000000003</v>
      </c>
      <c r="Z29" s="30">
        <v>0</v>
      </c>
      <c r="AA29" s="30">
        <v>0</v>
      </c>
      <c r="AB29" s="20">
        <f t="shared" si="4"/>
        <v>91.8</v>
      </c>
      <c r="AC29" s="25">
        <v>0</v>
      </c>
      <c r="AD29" s="25">
        <v>63.19</v>
      </c>
      <c r="AE29" s="20">
        <f t="shared" si="5"/>
        <v>311893.5</v>
      </c>
      <c r="AF29" s="31">
        <v>538.6</v>
      </c>
      <c r="AG29" s="237">
        <f>ROUND(AE29+AE30+AE31+AF29,1)</f>
        <v>313965.40000000002</v>
      </c>
      <c r="AH29" s="47">
        <f t="shared" si="6"/>
        <v>245806.57599999997</v>
      </c>
      <c r="AI29" s="55">
        <v>246251.4368</v>
      </c>
      <c r="AJ29" s="6"/>
      <c r="AK29" s="55">
        <f>ROUND(AG29/1000,1)</f>
        <v>314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110</v>
      </c>
      <c r="F30" s="20">
        <f t="shared" si="0"/>
        <v>8967.7369999999992</v>
      </c>
      <c r="G30" s="20">
        <f t="shared" si="1"/>
        <v>4982.16</v>
      </c>
      <c r="H30" s="20">
        <v>3826.54</v>
      </c>
      <c r="I30" s="30">
        <v>0</v>
      </c>
      <c r="J30" s="30">
        <v>0</v>
      </c>
      <c r="K30" s="20">
        <f t="shared" si="2"/>
        <v>1155.6199999999999</v>
      </c>
      <c r="L30" s="30">
        <v>0</v>
      </c>
      <c r="M30" s="30">
        <v>825.44</v>
      </c>
      <c r="N30" s="30">
        <v>100.78</v>
      </c>
      <c r="O30" s="30">
        <v>539.37</v>
      </c>
      <c r="P30" s="26">
        <v>0</v>
      </c>
      <c r="Q30" s="30">
        <v>48.67</v>
      </c>
      <c r="R30" s="30">
        <v>202.78</v>
      </c>
      <c r="S30" s="30">
        <f>425.88-200</f>
        <v>225.88</v>
      </c>
      <c r="T30" s="30">
        <v>413.74</v>
      </c>
      <c r="U30" s="20">
        <v>0</v>
      </c>
      <c r="V30" s="30">
        <v>243.42</v>
      </c>
      <c r="W30" s="30">
        <v>0</v>
      </c>
      <c r="X30" s="20">
        <f t="shared" si="3"/>
        <v>1854.71</v>
      </c>
      <c r="Y30" s="27">
        <v>1424.51</v>
      </c>
      <c r="Z30" s="30">
        <v>0</v>
      </c>
      <c r="AA30" s="30">
        <v>0</v>
      </c>
      <c r="AB30" s="20">
        <f t="shared" si="4"/>
        <v>430.2</v>
      </c>
      <c r="AC30" s="25">
        <v>0</v>
      </c>
      <c r="AD30" s="25">
        <f>428.21-257.273</f>
        <v>170.93699999999995</v>
      </c>
      <c r="AE30" s="20">
        <f t="shared" si="5"/>
        <v>986.5</v>
      </c>
      <c r="AF30" s="31"/>
      <c r="AG30" s="237"/>
      <c r="AH30" s="47">
        <f t="shared" si="6"/>
        <v>752.0557</v>
      </c>
      <c r="AI30" s="55">
        <v>753.41101000000015</v>
      </c>
      <c r="AJ30" s="6"/>
      <c r="AK30" s="7"/>
      <c r="AM30" s="8"/>
    </row>
    <row r="31" spans="1:39" s="1" customFormat="1" ht="56.25" x14ac:dyDescent="0.25">
      <c r="A31" s="23" t="s">
        <v>51</v>
      </c>
      <c r="B31" s="17" t="s">
        <v>41</v>
      </c>
      <c r="C31" s="79" t="s">
        <v>42</v>
      </c>
      <c r="D31" s="28" t="s">
        <v>38</v>
      </c>
      <c r="E31" s="19">
        <v>2</v>
      </c>
      <c r="F31" s="20">
        <f t="shared" si="0"/>
        <v>273405.55000000005</v>
      </c>
      <c r="G31" s="20">
        <f t="shared" si="1"/>
        <v>152984.95000000001</v>
      </c>
      <c r="H31" s="20">
        <v>117499.96</v>
      </c>
      <c r="I31" s="20">
        <v>0</v>
      </c>
      <c r="J31" s="20">
        <v>0</v>
      </c>
      <c r="K31" s="20">
        <f t="shared" si="2"/>
        <v>35484.99</v>
      </c>
      <c r="L31" s="20">
        <v>0</v>
      </c>
      <c r="M31" s="20">
        <v>28943.9</v>
      </c>
      <c r="N31" s="20">
        <v>0</v>
      </c>
      <c r="O31" s="20">
        <v>8416.44</v>
      </c>
      <c r="P31" s="20">
        <v>0</v>
      </c>
      <c r="Q31" s="20">
        <v>13234.78</v>
      </c>
      <c r="R31" s="20">
        <v>15149.06</v>
      </c>
      <c r="S31" s="20">
        <v>3047.2</v>
      </c>
      <c r="T31" s="20">
        <v>6404.24</v>
      </c>
      <c r="U31" s="20">
        <v>0</v>
      </c>
      <c r="V31" s="20">
        <v>4478.82</v>
      </c>
      <c r="W31" s="20">
        <v>0</v>
      </c>
      <c r="X31" s="20">
        <f t="shared" si="3"/>
        <v>33775.380000000005</v>
      </c>
      <c r="Y31" s="20">
        <v>25941.15</v>
      </c>
      <c r="Z31" s="20">
        <v>0</v>
      </c>
      <c r="AA31" s="20">
        <v>0</v>
      </c>
      <c r="AB31" s="20">
        <f t="shared" si="4"/>
        <v>7834.23</v>
      </c>
      <c r="AC31" s="25">
        <v>0</v>
      </c>
      <c r="AD31" s="25">
        <f>27887.22-12500</f>
        <v>15387.220000000001</v>
      </c>
      <c r="AE31" s="20">
        <f t="shared" si="5"/>
        <v>546.79999999999995</v>
      </c>
      <c r="AF31" s="20"/>
      <c r="AG31" s="237"/>
      <c r="AH31" s="47">
        <f t="shared" si="6"/>
        <v>373.52066000000002</v>
      </c>
      <c r="AI31" s="55">
        <v>374.19429000000002</v>
      </c>
      <c r="AJ31" s="6"/>
      <c r="AK31" s="7"/>
      <c r="AM31" s="8"/>
    </row>
    <row r="32" spans="1:39" s="1" customFormat="1" ht="78.75" x14ac:dyDescent="0.25">
      <c r="A32" s="77" t="s">
        <v>52</v>
      </c>
      <c r="B32" s="17" t="s">
        <v>36</v>
      </c>
      <c r="C32" s="17" t="s">
        <v>37</v>
      </c>
      <c r="D32" s="17" t="s">
        <v>53</v>
      </c>
      <c r="E32" s="19">
        <v>501</v>
      </c>
      <c r="F32" s="20">
        <f t="shared" si="0"/>
        <v>5807.0519999999997</v>
      </c>
      <c r="G32" s="20">
        <f t="shared" si="1"/>
        <v>2526.66</v>
      </c>
      <c r="H32" s="20">
        <v>1940.6</v>
      </c>
      <c r="I32" s="20"/>
      <c r="J32" s="20"/>
      <c r="K32" s="20">
        <f t="shared" si="2"/>
        <v>586.05999999999995</v>
      </c>
      <c r="L32" s="20"/>
      <c r="M32" s="20">
        <v>386.66</v>
      </c>
      <c r="N32" s="20">
        <v>0</v>
      </c>
      <c r="O32" s="20">
        <v>0</v>
      </c>
      <c r="P32" s="32">
        <v>0</v>
      </c>
      <c r="Q32" s="20">
        <f>1593.74-246.108</f>
        <v>1347.6320000000001</v>
      </c>
      <c r="R32" s="20">
        <v>26.9</v>
      </c>
      <c r="S32" s="20">
        <v>0</v>
      </c>
      <c r="T32" s="20">
        <v>0</v>
      </c>
      <c r="U32" s="20">
        <v>0</v>
      </c>
      <c r="V32" s="20">
        <v>39.1</v>
      </c>
      <c r="W32" s="20">
        <v>35.01</v>
      </c>
      <c r="X32" s="20">
        <f t="shared" si="3"/>
        <v>1151.8900000000001</v>
      </c>
      <c r="Y32" s="27">
        <v>884.71</v>
      </c>
      <c r="Z32" s="20"/>
      <c r="AA32" s="20"/>
      <c r="AB32" s="20">
        <f t="shared" si="4"/>
        <v>267.18</v>
      </c>
      <c r="AC32" s="20"/>
      <c r="AD32" s="20">
        <v>293.2</v>
      </c>
      <c r="AE32" s="20">
        <f t="shared" si="5"/>
        <v>2909.3</v>
      </c>
      <c r="AF32" s="25">
        <v>295.8</v>
      </c>
      <c r="AG32" s="237">
        <f>ROUND(AE32+AE33+AF32,1)</f>
        <v>18394.400000000001</v>
      </c>
      <c r="AH32" s="47">
        <f t="shared" si="6"/>
        <v>1842.95355</v>
      </c>
      <c r="AI32" s="55">
        <v>1846.2821939999999</v>
      </c>
      <c r="AJ32" s="6"/>
      <c r="AK32" s="55">
        <f>ROUND(AG32/1000,1)</f>
        <v>18.399999999999999</v>
      </c>
      <c r="AM32" s="8"/>
    </row>
    <row r="33" spans="1:39" s="1" customFormat="1" ht="63" x14ac:dyDescent="0.25">
      <c r="A33" s="77" t="s">
        <v>52</v>
      </c>
      <c r="B33" s="17" t="s">
        <v>39</v>
      </c>
      <c r="C33" s="17" t="s">
        <v>40</v>
      </c>
      <c r="D33" s="17" t="s">
        <v>53</v>
      </c>
      <c r="E33" s="19">
        <v>131</v>
      </c>
      <c r="F33" s="20">
        <f t="shared" si="0"/>
        <v>115948.67400000001</v>
      </c>
      <c r="G33" s="20">
        <f t="shared" si="1"/>
        <v>36791.67</v>
      </c>
      <c r="H33" s="20">
        <v>28257.81</v>
      </c>
      <c r="I33" s="20"/>
      <c r="J33" s="20"/>
      <c r="K33" s="20">
        <f t="shared" si="2"/>
        <v>8533.86</v>
      </c>
      <c r="L33" s="20"/>
      <c r="M33" s="20">
        <v>102.78</v>
      </c>
      <c r="N33" s="20">
        <v>0</v>
      </c>
      <c r="O33" s="20">
        <v>0</v>
      </c>
      <c r="P33" s="32">
        <v>0</v>
      </c>
      <c r="Q33" s="20">
        <v>3111.98</v>
      </c>
      <c r="R33" s="20">
        <v>1489.29</v>
      </c>
      <c r="S33" s="20">
        <v>39592.980000000003</v>
      </c>
      <c r="T33" s="20">
        <f>25123.33-3080.916</f>
        <v>22042.414000000001</v>
      </c>
      <c r="U33" s="20">
        <v>0</v>
      </c>
      <c r="V33" s="20">
        <v>3275.12</v>
      </c>
      <c r="W33" s="20">
        <v>277.33999999999997</v>
      </c>
      <c r="X33" s="20">
        <f t="shared" si="3"/>
        <v>9265.1</v>
      </c>
      <c r="Y33" s="27">
        <v>7116.05</v>
      </c>
      <c r="Z33" s="20"/>
      <c r="AA33" s="20"/>
      <c r="AB33" s="20">
        <f t="shared" si="4"/>
        <v>2149.0500000000002</v>
      </c>
      <c r="AC33" s="20"/>
      <c r="AD33" s="20">
        <v>0</v>
      </c>
      <c r="AE33" s="20">
        <f t="shared" si="5"/>
        <v>15189.3</v>
      </c>
      <c r="AF33" s="25"/>
      <c r="AG33" s="237"/>
      <c r="AH33" s="47">
        <f t="shared" si="6"/>
        <v>6033.4368699999995</v>
      </c>
      <c r="AI33" s="55">
        <v>6044.3164200000001</v>
      </c>
      <c r="AJ33" s="6"/>
      <c r="AK33" s="7"/>
      <c r="AM33" s="8"/>
    </row>
    <row r="34" spans="1:39" s="1" customFormat="1" ht="78.75" x14ac:dyDescent="0.25">
      <c r="A34" s="77" t="s">
        <v>54</v>
      </c>
      <c r="B34" s="17" t="s">
        <v>49</v>
      </c>
      <c r="C34" s="17" t="s">
        <v>37</v>
      </c>
      <c r="D34" s="17" t="s">
        <v>45</v>
      </c>
      <c r="E34" s="19">
        <v>5286</v>
      </c>
      <c r="F34" s="20">
        <f t="shared" si="0"/>
        <v>1868.2309999999998</v>
      </c>
      <c r="G34" s="20">
        <f t="shared" si="1"/>
        <v>697.04</v>
      </c>
      <c r="H34" s="20">
        <v>535.36</v>
      </c>
      <c r="I34" s="25">
        <v>0</v>
      </c>
      <c r="J34" s="25">
        <v>0</v>
      </c>
      <c r="K34" s="20">
        <f t="shared" si="2"/>
        <v>161.68</v>
      </c>
      <c r="L34" s="25">
        <v>0</v>
      </c>
      <c r="M34" s="25">
        <v>90.3</v>
      </c>
      <c r="N34" s="25">
        <v>0</v>
      </c>
      <c r="O34" s="25">
        <v>0</v>
      </c>
      <c r="P34" s="26">
        <v>0</v>
      </c>
      <c r="Q34" s="25">
        <v>83.61</v>
      </c>
      <c r="R34" s="25">
        <v>45.52</v>
      </c>
      <c r="S34" s="25">
        <v>77.900000000000006</v>
      </c>
      <c r="T34" s="25">
        <v>310.45</v>
      </c>
      <c r="U34" s="20">
        <v>0</v>
      </c>
      <c r="V34" s="27">
        <v>13.8</v>
      </c>
      <c r="W34" s="27">
        <v>3.61</v>
      </c>
      <c r="X34" s="20">
        <f t="shared" si="3"/>
        <v>453.46</v>
      </c>
      <c r="Y34" s="27">
        <v>348.28</v>
      </c>
      <c r="Z34" s="27">
        <v>0</v>
      </c>
      <c r="AA34" s="27">
        <v>0</v>
      </c>
      <c r="AB34" s="20">
        <f t="shared" si="4"/>
        <v>105.18</v>
      </c>
      <c r="AC34" s="25">
        <v>0</v>
      </c>
      <c r="AD34" s="25">
        <f>169.48-76.939</f>
        <v>92.540999999999997</v>
      </c>
      <c r="AE34" s="20">
        <f t="shared" si="5"/>
        <v>9875.5</v>
      </c>
      <c r="AF34" s="25">
        <v>276.2</v>
      </c>
      <c r="AG34" s="237">
        <f>ROUND(AE34+AE35+AF34,1)</f>
        <v>10674.4</v>
      </c>
      <c r="AH34" s="47">
        <f t="shared" si="6"/>
        <v>6081.5429999999997</v>
      </c>
      <c r="AI34" s="55">
        <v>6092.5167360000005</v>
      </c>
      <c r="AJ34" s="6"/>
      <c r="AK34" s="55">
        <f>ROUND(AG34/1000,1)</f>
        <v>10.7</v>
      </c>
      <c r="AM34" s="8"/>
    </row>
    <row r="35" spans="1:39" s="1" customFormat="1" ht="63" x14ac:dyDescent="0.25">
      <c r="A35" s="77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0"/>
        <v>52273.070000000007</v>
      </c>
      <c r="G35" s="20">
        <f t="shared" si="1"/>
        <v>24389.129999999997</v>
      </c>
      <c r="H35" s="20">
        <v>18732.05</v>
      </c>
      <c r="I35" s="25">
        <v>0</v>
      </c>
      <c r="J35" s="25">
        <v>0</v>
      </c>
      <c r="K35" s="20">
        <f t="shared" si="2"/>
        <v>5657.08</v>
      </c>
      <c r="L35" s="25">
        <v>0</v>
      </c>
      <c r="M35" s="25">
        <v>746.32</v>
      </c>
      <c r="N35" s="25">
        <v>0</v>
      </c>
      <c r="O35" s="25">
        <v>696.51</v>
      </c>
      <c r="P35" s="26">
        <v>0</v>
      </c>
      <c r="Q35" s="25">
        <v>1516.5</v>
      </c>
      <c r="R35" s="25">
        <v>1804.61</v>
      </c>
      <c r="S35" s="25">
        <v>2885.01</v>
      </c>
      <c r="T35" s="25">
        <f>8176.28-2290</f>
        <v>5886.28</v>
      </c>
      <c r="U35" s="20">
        <v>0</v>
      </c>
      <c r="V35" s="27">
        <v>1654.68</v>
      </c>
      <c r="W35" s="27">
        <v>1056.1199999999999</v>
      </c>
      <c r="X35" s="20">
        <f t="shared" si="3"/>
        <v>9887.48</v>
      </c>
      <c r="Y35" s="27">
        <v>7594.07</v>
      </c>
      <c r="Z35" s="27">
        <v>0</v>
      </c>
      <c r="AA35" s="27">
        <v>0</v>
      </c>
      <c r="AB35" s="20">
        <f t="shared" si="4"/>
        <v>2293.41</v>
      </c>
      <c r="AC35" s="25">
        <v>0</v>
      </c>
      <c r="AD35" s="25">
        <v>2446.94</v>
      </c>
      <c r="AE35" s="20">
        <f t="shared" si="5"/>
        <v>522.70000000000005</v>
      </c>
      <c r="AF35" s="27">
        <v>0</v>
      </c>
      <c r="AG35" s="237"/>
      <c r="AH35" s="47">
        <f t="shared" si="6"/>
        <v>342.76609999999999</v>
      </c>
      <c r="AI35" s="55">
        <v>343.38428999999996</v>
      </c>
      <c r="AJ35" s="6"/>
      <c r="AK35" s="7"/>
      <c r="AM35" s="8"/>
    </row>
    <row r="36" spans="1:39" s="1" customFormat="1" ht="78.75" x14ac:dyDescent="0.25">
      <c r="A36" s="77" t="s">
        <v>55</v>
      </c>
      <c r="B36" s="17" t="s">
        <v>56</v>
      </c>
      <c r="C36" s="17" t="s">
        <v>37</v>
      </c>
      <c r="D36" s="18" t="s">
        <v>53</v>
      </c>
      <c r="E36" s="19">
        <v>7900</v>
      </c>
      <c r="F36" s="20">
        <f t="shared" si="0"/>
        <v>2326.8339999999998</v>
      </c>
      <c r="G36" s="20">
        <f t="shared" si="1"/>
        <v>932.92</v>
      </c>
      <c r="H36" s="20">
        <v>716.53</v>
      </c>
      <c r="I36" s="25">
        <v>0</v>
      </c>
      <c r="J36" s="25">
        <v>0</v>
      </c>
      <c r="K36" s="20">
        <f t="shared" si="2"/>
        <v>216.39</v>
      </c>
      <c r="L36" s="25">
        <v>0</v>
      </c>
      <c r="M36" s="25">
        <f>535.65-101.937-13.949</f>
        <v>419.76399999999995</v>
      </c>
      <c r="N36" s="25">
        <v>0</v>
      </c>
      <c r="O36" s="25">
        <v>45.48</v>
      </c>
      <c r="P36" s="26">
        <v>0</v>
      </c>
      <c r="Q36" s="25">
        <v>84.54</v>
      </c>
      <c r="R36" s="25">
        <v>150.03</v>
      </c>
      <c r="S36" s="25">
        <v>43.28</v>
      </c>
      <c r="T36" s="25">
        <v>46.01</v>
      </c>
      <c r="U36" s="20">
        <v>0</v>
      </c>
      <c r="V36" s="25">
        <v>8.23</v>
      </c>
      <c r="W36" s="25">
        <v>0</v>
      </c>
      <c r="X36" s="20">
        <f t="shared" si="3"/>
        <v>591.22</v>
      </c>
      <c r="Y36" s="27">
        <v>454.03</v>
      </c>
      <c r="Z36" s="25">
        <v>0</v>
      </c>
      <c r="AA36" s="25">
        <v>0</v>
      </c>
      <c r="AB36" s="20">
        <f t="shared" si="4"/>
        <v>137.12</v>
      </c>
      <c r="AC36" s="25">
        <v>7.0000000000000007E-2</v>
      </c>
      <c r="AD36" s="25">
        <v>50.84</v>
      </c>
      <c r="AE36" s="20">
        <f t="shared" si="5"/>
        <v>18382</v>
      </c>
      <c r="AF36" s="25">
        <v>97.4</v>
      </c>
      <c r="AG36" s="237">
        <f>ROUND(AE36+AE37+AF36,1)</f>
        <v>20327.5</v>
      </c>
      <c r="AH36" s="47">
        <f t="shared" si="6"/>
        <v>12040.705999999998</v>
      </c>
      <c r="AI36" s="55">
        <v>12062.336200000002</v>
      </c>
      <c r="AJ36" s="6"/>
      <c r="AK36" s="55">
        <f>ROUND(AG36/1000,1)</f>
        <v>20.3</v>
      </c>
      <c r="AM36" s="8"/>
    </row>
    <row r="37" spans="1:39" s="1" customFormat="1" ht="63" x14ac:dyDescent="0.25">
      <c r="A37" s="77" t="s">
        <v>55</v>
      </c>
      <c r="B37" s="33" t="s">
        <v>57</v>
      </c>
      <c r="C37" s="17" t="s">
        <v>40</v>
      </c>
      <c r="D37" s="18" t="s">
        <v>45</v>
      </c>
      <c r="E37" s="19">
        <v>104</v>
      </c>
      <c r="F37" s="20">
        <f t="shared" si="0"/>
        <v>17769.77</v>
      </c>
      <c r="G37" s="20">
        <f t="shared" si="1"/>
        <v>6502.83</v>
      </c>
      <c r="H37" s="20">
        <v>4994.49</v>
      </c>
      <c r="I37" s="25">
        <v>0</v>
      </c>
      <c r="J37" s="25">
        <v>0</v>
      </c>
      <c r="K37" s="20">
        <f t="shared" si="2"/>
        <v>1508.34</v>
      </c>
      <c r="L37" s="25">
        <v>0</v>
      </c>
      <c r="M37" s="25">
        <v>489.79</v>
      </c>
      <c r="N37" s="25">
        <v>0</v>
      </c>
      <c r="O37" s="25">
        <v>269.66000000000003</v>
      </c>
      <c r="P37" s="26">
        <v>0</v>
      </c>
      <c r="Q37" s="25">
        <v>20.72</v>
      </c>
      <c r="R37" s="25">
        <v>180.35</v>
      </c>
      <c r="S37" s="25">
        <v>724.75</v>
      </c>
      <c r="T37" s="25">
        <v>115.61</v>
      </c>
      <c r="U37" s="20">
        <v>0</v>
      </c>
      <c r="V37" s="25">
        <v>48.76</v>
      </c>
      <c r="W37" s="25">
        <v>0</v>
      </c>
      <c r="X37" s="20">
        <f t="shared" si="3"/>
        <v>9347.0999999999985</v>
      </c>
      <c r="Y37" s="27">
        <v>7178.48</v>
      </c>
      <c r="Z37" s="25">
        <v>0</v>
      </c>
      <c r="AA37" s="25">
        <v>0</v>
      </c>
      <c r="AB37" s="20">
        <f t="shared" si="4"/>
        <v>2167.9</v>
      </c>
      <c r="AC37" s="25">
        <v>0.72</v>
      </c>
      <c r="AD37" s="25">
        <v>339.86</v>
      </c>
      <c r="AE37" s="20">
        <f t="shared" si="5"/>
        <v>1848.1</v>
      </c>
      <c r="AF37" s="25"/>
      <c r="AG37" s="237"/>
      <c r="AH37" s="47">
        <f t="shared" si="6"/>
        <v>1648.3927199999998</v>
      </c>
      <c r="AI37" s="55">
        <v>1651.3658719999999</v>
      </c>
      <c r="AJ37" s="6"/>
      <c r="AK37" s="7"/>
      <c r="AM37" s="8"/>
    </row>
    <row r="38" spans="1:39" s="1" customFormat="1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62</v>
      </c>
      <c r="F38" s="20">
        <f t="shared" si="0"/>
        <v>90905.826000000001</v>
      </c>
      <c r="G38" s="20">
        <f t="shared" si="1"/>
        <v>46141.58</v>
      </c>
      <c r="H38" s="20">
        <v>35439</v>
      </c>
      <c r="I38" s="25">
        <v>0</v>
      </c>
      <c r="J38" s="25">
        <v>0</v>
      </c>
      <c r="K38" s="20">
        <f t="shared" si="2"/>
        <v>10702.58</v>
      </c>
      <c r="L38" s="25">
        <v>0</v>
      </c>
      <c r="M38" s="25">
        <v>6684.44</v>
      </c>
      <c r="N38" s="25">
        <v>3296.89</v>
      </c>
      <c r="O38" s="25">
        <v>1071.49</v>
      </c>
      <c r="P38" s="25">
        <v>0</v>
      </c>
      <c r="Q38" s="25">
        <v>2588.06</v>
      </c>
      <c r="R38" s="25">
        <f>9810.4-4574.194</f>
        <v>5236.2059999999992</v>
      </c>
      <c r="S38" s="25">
        <v>1458.87</v>
      </c>
      <c r="T38" s="25">
        <v>1087.98</v>
      </c>
      <c r="U38" s="20">
        <v>0</v>
      </c>
      <c r="V38" s="25">
        <v>3761.75</v>
      </c>
      <c r="W38" s="25">
        <v>0</v>
      </c>
      <c r="X38" s="20">
        <f t="shared" si="3"/>
        <v>22234.7</v>
      </c>
      <c r="Y38" s="27">
        <v>17077.34</v>
      </c>
      <c r="Z38" s="25">
        <v>0</v>
      </c>
      <c r="AA38" s="25">
        <v>0</v>
      </c>
      <c r="AB38" s="20">
        <f t="shared" si="4"/>
        <v>5157.3599999999997</v>
      </c>
      <c r="AC38" s="25">
        <v>0</v>
      </c>
      <c r="AD38" s="25">
        <v>1712.24</v>
      </c>
      <c r="AE38" s="20">
        <f t="shared" si="5"/>
        <v>5636.2</v>
      </c>
      <c r="AF38" s="20">
        <v>164.4</v>
      </c>
      <c r="AG38" s="75">
        <f>ROUND(AE38+AF38,1)</f>
        <v>5800.6</v>
      </c>
      <c r="AH38" s="47">
        <f t="shared" si="6"/>
        <v>4239.3293600000006</v>
      </c>
      <c r="AI38" s="55">
        <v>4246.9750139999996</v>
      </c>
      <c r="AJ38" s="6"/>
      <c r="AK38" s="55">
        <f>ROUND(AG38/1000,1)</f>
        <v>5.8</v>
      </c>
      <c r="AM38" s="8"/>
    </row>
    <row r="39" spans="1:39" s="1" customFormat="1" ht="63" x14ac:dyDescent="0.25">
      <c r="A39" s="77" t="s">
        <v>59</v>
      </c>
      <c r="B39" s="17" t="s">
        <v>39</v>
      </c>
      <c r="C39" s="17" t="s">
        <v>40</v>
      </c>
      <c r="D39" s="17" t="s">
        <v>45</v>
      </c>
      <c r="E39" s="19">
        <v>60</v>
      </c>
      <c r="F39" s="20">
        <f t="shared" si="0"/>
        <v>70267.91</v>
      </c>
      <c r="G39" s="20">
        <f t="shared" si="1"/>
        <v>18024.52</v>
      </c>
      <c r="H39" s="20">
        <v>13091.83</v>
      </c>
      <c r="I39" s="25">
        <v>0</v>
      </c>
      <c r="J39" s="25">
        <v>0</v>
      </c>
      <c r="K39" s="20">
        <f t="shared" si="2"/>
        <v>3953.73</v>
      </c>
      <c r="L39" s="25">
        <v>978.96</v>
      </c>
      <c r="M39" s="25">
        <v>1849.78</v>
      </c>
      <c r="N39" s="25">
        <v>0</v>
      </c>
      <c r="O39" s="25">
        <v>85.47</v>
      </c>
      <c r="P39" s="26">
        <v>0</v>
      </c>
      <c r="Q39" s="25">
        <v>0</v>
      </c>
      <c r="R39" s="25">
        <v>6010.31</v>
      </c>
      <c r="S39" s="25">
        <f>27648.23-1540</f>
        <v>26108.23</v>
      </c>
      <c r="T39" s="25">
        <v>7613.65</v>
      </c>
      <c r="U39" s="20">
        <v>0</v>
      </c>
      <c r="V39" s="25">
        <v>490.42</v>
      </c>
      <c r="W39" s="25">
        <v>0</v>
      </c>
      <c r="X39" s="20">
        <f t="shared" si="3"/>
        <v>6058.6500000000005</v>
      </c>
      <c r="Y39" s="27">
        <v>4590.68</v>
      </c>
      <c r="Z39" s="25">
        <v>0</v>
      </c>
      <c r="AA39" s="25">
        <v>0</v>
      </c>
      <c r="AB39" s="20">
        <f>ROUND(Y39*0.302,2)</f>
        <v>1386.39</v>
      </c>
      <c r="AC39" s="25">
        <v>81.58</v>
      </c>
      <c r="AD39" s="25">
        <v>4112.3500000000004</v>
      </c>
      <c r="AE39" s="20">
        <f t="shared" si="5"/>
        <v>4216.1000000000004</v>
      </c>
      <c r="AF39" s="25">
        <v>165.4</v>
      </c>
      <c r="AG39" s="75">
        <f>ROUND(AE39+AF39,1)</f>
        <v>4381.5</v>
      </c>
      <c r="AH39" s="47">
        <f t="shared" si="6"/>
        <v>1444.9902000000002</v>
      </c>
      <c r="AI39" s="55">
        <v>1447.4813999999999</v>
      </c>
      <c r="AJ39" s="6"/>
      <c r="AK39" s="55">
        <f>ROUND(AG39/1000,1)</f>
        <v>4.4000000000000004</v>
      </c>
      <c r="AM39" s="8"/>
    </row>
    <row r="40" spans="1:39" s="1" customFormat="1" ht="94.5" customHeight="1" x14ac:dyDescent="0.25">
      <c r="A40" s="251" t="s">
        <v>60</v>
      </c>
      <c r="B40" s="78" t="s">
        <v>61</v>
      </c>
      <c r="C40" s="78" t="s">
        <v>62</v>
      </c>
      <c r="D40" s="78" t="s">
        <v>45</v>
      </c>
      <c r="E40" s="19">
        <v>506</v>
      </c>
      <c r="F40" s="20">
        <f>SUM(G40,M40,Q40,R40,S40,T40,V40,W40,X40,AD40,P40,U40)</f>
        <v>15783.29</v>
      </c>
      <c r="G40" s="20">
        <f>SUM(H40:L40)</f>
        <v>6643.75</v>
      </c>
      <c r="H40" s="20">
        <v>5102.7299999999996</v>
      </c>
      <c r="I40" s="20">
        <v>0</v>
      </c>
      <c r="J40" s="20">
        <v>0</v>
      </c>
      <c r="K40" s="20">
        <f>ROUND(H40*0.302,2)</f>
        <v>1541.02</v>
      </c>
      <c r="L40" s="20">
        <v>0</v>
      </c>
      <c r="M40" s="20">
        <v>619.28</v>
      </c>
      <c r="N40" s="20">
        <v>0</v>
      </c>
      <c r="O40" s="20">
        <v>0</v>
      </c>
      <c r="P40" s="20">
        <v>0</v>
      </c>
      <c r="Q40" s="20">
        <v>242.38</v>
      </c>
      <c r="R40" s="20">
        <v>950.54</v>
      </c>
      <c r="S40" s="20">
        <v>1070.01</v>
      </c>
      <c r="T40" s="20">
        <v>100.99</v>
      </c>
      <c r="U40" s="20">
        <v>0</v>
      </c>
      <c r="V40" s="20">
        <v>458.5</v>
      </c>
      <c r="W40" s="20">
        <v>2.2200000000000002</v>
      </c>
      <c r="X40" s="20">
        <f>SUM(Y40:AC40)</f>
        <v>5438.75</v>
      </c>
      <c r="Y40" s="27">
        <v>4177.2299999999996</v>
      </c>
      <c r="Z40" s="20">
        <v>0</v>
      </c>
      <c r="AA40" s="20">
        <v>0</v>
      </c>
      <c r="AB40" s="20">
        <f>ROUND(Y40*0.302,2)</f>
        <v>1261.52</v>
      </c>
      <c r="AC40" s="25">
        <v>0</v>
      </c>
      <c r="AD40" s="25">
        <f>1065.17-808.3</f>
        <v>256.87000000000012</v>
      </c>
      <c r="AE40" s="20">
        <f t="shared" si="5"/>
        <v>7986.3</v>
      </c>
      <c r="AF40" s="25">
        <v>4.0999999999999996</v>
      </c>
      <c r="AG40" s="254">
        <f>SUM(AE40:AF43)</f>
        <v>29560.600000000002</v>
      </c>
      <c r="AH40" s="47">
        <f>(G40+X40)*E40/1000</f>
        <v>6113.7449999999999</v>
      </c>
      <c r="AI40" s="55">
        <v>6124.7727640000003</v>
      </c>
      <c r="AJ40" s="6" t="e">
        <f>AF40+#REF!</f>
        <v>#REF!</v>
      </c>
      <c r="AK40" s="55">
        <f>ROUND(AG40/1000,1)</f>
        <v>29.6</v>
      </c>
      <c r="AL40" s="60" t="e">
        <f>ROUND(AJ40/1000,1)</f>
        <v>#REF!</v>
      </c>
      <c r="AM40" s="8"/>
    </row>
    <row r="41" spans="1:39" s="1" customFormat="1" ht="131.25" customHeight="1" x14ac:dyDescent="0.25">
      <c r="A41" s="252"/>
      <c r="B41" s="86" t="s">
        <v>82</v>
      </c>
      <c r="C41" s="39" t="s">
        <v>64</v>
      </c>
      <c r="D41" s="38" t="s">
        <v>65</v>
      </c>
      <c r="E41" s="40">
        <v>6880</v>
      </c>
      <c r="F41" s="41">
        <f>SUM(G41,M41,Q41,R41,S41,T41,V41,W41,X41,AD41,P41,U41)</f>
        <v>2177.88</v>
      </c>
      <c r="G41" s="41">
        <f>SUM(H41:L41)</f>
        <v>1134.04</v>
      </c>
      <c r="H41" s="41">
        <v>871</v>
      </c>
      <c r="I41" s="42">
        <v>0</v>
      </c>
      <c r="J41" s="41">
        <v>0</v>
      </c>
      <c r="K41" s="41">
        <f>ROUND(H41*0.302,2)</f>
        <v>263.04000000000002</v>
      </c>
      <c r="L41" s="41">
        <v>0</v>
      </c>
      <c r="M41" s="42">
        <v>23.45</v>
      </c>
      <c r="N41" s="42">
        <v>0</v>
      </c>
      <c r="O41" s="42">
        <v>8.3000000000000007</v>
      </c>
      <c r="P41" s="42">
        <v>0</v>
      </c>
      <c r="Q41" s="42">
        <v>0</v>
      </c>
      <c r="R41" s="41">
        <v>10.87</v>
      </c>
      <c r="S41" s="42">
        <v>25.24</v>
      </c>
      <c r="T41" s="41">
        <v>13.07</v>
      </c>
      <c r="U41" s="41">
        <v>0</v>
      </c>
      <c r="V41" s="42">
        <v>32.08</v>
      </c>
      <c r="W41" s="41">
        <v>19.32</v>
      </c>
      <c r="X41" s="41">
        <f>SUM(Y41:AC41)</f>
        <v>539.82000000000005</v>
      </c>
      <c r="Y41" s="43">
        <v>414.61</v>
      </c>
      <c r="Z41" s="42">
        <v>0</v>
      </c>
      <c r="AA41" s="41">
        <v>0</v>
      </c>
      <c r="AB41" s="41">
        <f>ROUND(Y41*0.302,2)</f>
        <v>125.21</v>
      </c>
      <c r="AC41" s="42">
        <v>0</v>
      </c>
      <c r="AD41" s="87">
        <v>379.99</v>
      </c>
      <c r="AE41" s="20">
        <f t="shared" si="5"/>
        <v>14983.8</v>
      </c>
      <c r="AF41" s="25">
        <v>52.7</v>
      </c>
      <c r="AG41" s="255"/>
      <c r="AH41" s="47">
        <f t="shared" si="6"/>
        <v>11516.156800000001</v>
      </c>
      <c r="AI41" s="55">
        <v>16567.61392</v>
      </c>
      <c r="AJ41" s="6" t="e">
        <f>AF41+#REF!</f>
        <v>#REF!</v>
      </c>
      <c r="AK41" s="7"/>
      <c r="AL41" s="60" t="e">
        <f>ROUND(AJ41/1000,1)</f>
        <v>#REF!</v>
      </c>
      <c r="AM41" s="8"/>
    </row>
    <row r="42" spans="1:39" s="1" customFormat="1" ht="214.5" customHeight="1" x14ac:dyDescent="0.25">
      <c r="A42" s="252"/>
      <c r="B42" s="88" t="s">
        <v>83</v>
      </c>
      <c r="C42" s="39" t="s">
        <v>64</v>
      </c>
      <c r="D42" s="38" t="s">
        <v>65</v>
      </c>
      <c r="E42" s="89">
        <v>1000</v>
      </c>
      <c r="F42" s="41">
        <f>SUM(G42,M42,Q42,R42,S42,T42,V42,W42,X42,AD42,P42,U42)</f>
        <v>2177.88</v>
      </c>
      <c r="G42" s="41">
        <f>SUM(H42:L42)</f>
        <v>1134.04</v>
      </c>
      <c r="H42" s="41">
        <v>871</v>
      </c>
      <c r="I42" s="42">
        <v>0</v>
      </c>
      <c r="J42" s="41">
        <v>0</v>
      </c>
      <c r="K42" s="41">
        <f>ROUND(H42*0.302,2)</f>
        <v>263.04000000000002</v>
      </c>
      <c r="L42" s="41">
        <v>0</v>
      </c>
      <c r="M42" s="42">
        <v>23.45</v>
      </c>
      <c r="N42" s="42">
        <v>0</v>
      </c>
      <c r="O42" s="42">
        <v>8.3000000000000007</v>
      </c>
      <c r="P42" s="42">
        <v>0</v>
      </c>
      <c r="Q42" s="42">
        <v>0</v>
      </c>
      <c r="R42" s="41">
        <v>10.87</v>
      </c>
      <c r="S42" s="42">
        <v>25.24</v>
      </c>
      <c r="T42" s="41">
        <v>13.07</v>
      </c>
      <c r="U42" s="41">
        <v>0</v>
      </c>
      <c r="V42" s="42">
        <v>32.08</v>
      </c>
      <c r="W42" s="41">
        <v>19.32</v>
      </c>
      <c r="X42" s="41">
        <f>SUM(Y42:AC42)</f>
        <v>539.82000000000005</v>
      </c>
      <c r="Y42" s="43">
        <v>414.61</v>
      </c>
      <c r="Z42" s="42">
        <v>0</v>
      </c>
      <c r="AA42" s="41">
        <v>0</v>
      </c>
      <c r="AB42" s="41">
        <f>ROUND(Y42*0.302,2)</f>
        <v>125.21</v>
      </c>
      <c r="AC42" s="42">
        <v>0</v>
      </c>
      <c r="AD42" s="87">
        <v>379.99</v>
      </c>
      <c r="AE42" s="20">
        <f t="shared" si="5"/>
        <v>2177.9</v>
      </c>
      <c r="AF42" s="51">
        <v>0</v>
      </c>
      <c r="AG42" s="255"/>
      <c r="AH42" s="55"/>
      <c r="AI42" s="55"/>
      <c r="AJ42" s="6"/>
      <c r="AK42" s="7"/>
      <c r="AL42" s="60"/>
      <c r="AM42" s="8"/>
    </row>
    <row r="43" spans="1:39" s="1" customFormat="1" ht="109.5" customHeight="1" x14ac:dyDescent="0.25">
      <c r="A43" s="253"/>
      <c r="B43" s="88" t="s">
        <v>84</v>
      </c>
      <c r="C43" s="39" t="s">
        <v>64</v>
      </c>
      <c r="D43" s="38" t="s">
        <v>65</v>
      </c>
      <c r="E43" s="89">
        <v>2000</v>
      </c>
      <c r="F43" s="41">
        <f>SUM(G43,M43,Q43,R43,S43,T43,V43,W43,X43,AD43,P43,U43)</f>
        <v>2177.88</v>
      </c>
      <c r="G43" s="41">
        <f>SUM(H43:L43)</f>
        <v>1134.04</v>
      </c>
      <c r="H43" s="41">
        <v>871</v>
      </c>
      <c r="I43" s="42">
        <v>0</v>
      </c>
      <c r="J43" s="41">
        <v>0</v>
      </c>
      <c r="K43" s="41">
        <f>ROUND(H43*0.302,2)</f>
        <v>263.04000000000002</v>
      </c>
      <c r="L43" s="41">
        <v>0</v>
      </c>
      <c r="M43" s="42">
        <v>23.45</v>
      </c>
      <c r="N43" s="42">
        <v>0</v>
      </c>
      <c r="O43" s="42">
        <v>8.3000000000000007</v>
      </c>
      <c r="P43" s="42">
        <v>0</v>
      </c>
      <c r="Q43" s="42">
        <v>0</v>
      </c>
      <c r="R43" s="41">
        <v>10.87</v>
      </c>
      <c r="S43" s="42">
        <v>25.24</v>
      </c>
      <c r="T43" s="41">
        <v>13.07</v>
      </c>
      <c r="U43" s="41">
        <v>0</v>
      </c>
      <c r="V43" s="42">
        <v>32.08</v>
      </c>
      <c r="W43" s="41">
        <v>19.32</v>
      </c>
      <c r="X43" s="41">
        <f>SUM(Y43:AC43)</f>
        <v>539.82000000000005</v>
      </c>
      <c r="Y43" s="43">
        <v>414.61</v>
      </c>
      <c r="Z43" s="42">
        <v>0</v>
      </c>
      <c r="AA43" s="41">
        <v>0</v>
      </c>
      <c r="AB43" s="41">
        <f>ROUND(Y43*0.302,2)</f>
        <v>125.21</v>
      </c>
      <c r="AC43" s="42">
        <v>0</v>
      </c>
      <c r="AD43" s="87">
        <v>379.99</v>
      </c>
      <c r="AE43" s="20">
        <f t="shared" si="5"/>
        <v>4355.8</v>
      </c>
      <c r="AF43" s="51">
        <v>0</v>
      </c>
      <c r="AG43" s="255"/>
      <c r="AH43" s="55"/>
      <c r="AI43" s="55"/>
      <c r="AJ43" s="6"/>
      <c r="AK43" s="7"/>
      <c r="AL43" s="60"/>
      <c r="AM43" s="8"/>
    </row>
    <row r="44" spans="1:39" s="1" customFormat="1" ht="15.75" x14ac:dyDescent="0.25">
      <c r="A44" s="81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/>
      <c r="AH44" s="55"/>
      <c r="AI44" s="55"/>
      <c r="AJ44" s="6"/>
      <c r="AK44" s="7"/>
      <c r="AL44" s="60"/>
      <c r="AM44" s="8"/>
    </row>
    <row r="45" spans="1:39" ht="22.5" x14ac:dyDescent="0.25">
      <c r="A45" s="9" t="s">
        <v>70</v>
      </c>
      <c r="AE45" s="54">
        <f>SUM(AE11:AE41)</f>
        <v>1990519.6000000006</v>
      </c>
      <c r="AF45" s="54">
        <f>SUM(AF11:AF41)</f>
        <v>4034.4</v>
      </c>
      <c r="AG45" s="53">
        <f>SUM(AG11:AG43)</f>
        <v>2001087.7000000002</v>
      </c>
      <c r="AH45" s="53">
        <f>SUM(AH11:AH41)</f>
        <v>1565746.9200799996</v>
      </c>
      <c r="AI45" s="48">
        <v>1573601.299843</v>
      </c>
    </row>
    <row r="46" spans="1:39" ht="20.25" x14ac:dyDescent="0.25">
      <c r="A46" s="9" t="s">
        <v>71</v>
      </c>
      <c r="AE46" s="4"/>
      <c r="AF46" s="4"/>
      <c r="AG46" s="49">
        <v>2003920.5</v>
      </c>
      <c r="AH46" s="49">
        <v>1573601.3</v>
      </c>
      <c r="AI46" s="50"/>
    </row>
    <row r="47" spans="1:39" x14ac:dyDescent="0.25">
      <c r="AE47" s="4"/>
      <c r="AF47" s="4"/>
      <c r="AG47" s="50">
        <f>AG45-AG46</f>
        <v>-2832.7999999998137</v>
      </c>
      <c r="AH47" s="50">
        <f>AH45-AH46</f>
        <v>-7854.3799200004432</v>
      </c>
    </row>
    <row r="48" spans="1:39" x14ac:dyDescent="0.25">
      <c r="AG48" s="2"/>
      <c r="AH48" s="50"/>
      <c r="AI48" s="50"/>
    </row>
  </sheetData>
  <mergeCells count="52">
    <mergeCell ref="AG36:AG37"/>
    <mergeCell ref="A40:A43"/>
    <mergeCell ref="AG40:AG43"/>
    <mergeCell ref="AG17:AG19"/>
    <mergeCell ref="AG20:AG22"/>
    <mergeCell ref="AG23:AG25"/>
    <mergeCell ref="AG26:AG28"/>
    <mergeCell ref="AG29:AG31"/>
    <mergeCell ref="AG32:AG33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</mergeCells>
  <pageMargins left="0" right="0" top="0" bottom="0" header="0.31496062992125984" footer="0.31496062992125984"/>
  <pageSetup paperSize="9" scale="18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7"/>
  <sheetViews>
    <sheetView view="pageBreakPreview" zoomScale="55" zoomScaleNormal="55" zoomScaleSheetLayoutView="55" workbookViewId="0">
      <selection activeCell="F35" sqref="A1:XFD1048576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3.14062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6.57031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8.285156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0" customHeight="1" x14ac:dyDescent="0.25">
      <c r="A1" s="304" t="s">
        <v>163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</row>
    <row r="3" spans="1:31" ht="15.75" customHeight="1" x14ac:dyDescent="0.25">
      <c r="A3" s="247" t="s">
        <v>0</v>
      </c>
      <c r="B3" s="243" t="s">
        <v>1</v>
      </c>
      <c r="C3" s="248" t="s">
        <v>2</v>
      </c>
      <c r="D3" s="248"/>
      <c r="E3" s="231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5</v>
      </c>
    </row>
    <row r="4" spans="1:31" ht="15.75" customHeight="1" x14ac:dyDescent="0.25">
      <c r="A4" s="238"/>
      <c r="B4" s="242"/>
      <c r="C4" s="249" t="s">
        <v>7</v>
      </c>
      <c r="D4" s="249" t="s">
        <v>8</v>
      </c>
      <c r="E4" s="303" t="s">
        <v>144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</row>
    <row r="5" spans="1:31" ht="15.75" x14ac:dyDescent="0.25">
      <c r="A5" s="238"/>
      <c r="B5" s="242"/>
      <c r="C5" s="249"/>
      <c r="D5" s="249"/>
      <c r="E5" s="303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</row>
    <row r="6" spans="1:31" ht="15.75" x14ac:dyDescent="0.25">
      <c r="A6" s="238"/>
      <c r="B6" s="242"/>
      <c r="C6" s="249"/>
      <c r="D6" s="249"/>
      <c r="E6" s="303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</row>
    <row r="7" spans="1:31" ht="63" customHeight="1" x14ac:dyDescent="0.25">
      <c r="A7" s="238"/>
      <c r="B7" s="242"/>
      <c r="C7" s="249"/>
      <c r="D7" s="249"/>
      <c r="E7" s="303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</row>
    <row r="8" spans="1:31" ht="15.75" x14ac:dyDescent="0.25">
      <c r="A8" s="238"/>
      <c r="B8" s="242"/>
      <c r="C8" s="249"/>
      <c r="D8" s="249"/>
      <c r="E8" s="303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</row>
    <row r="9" spans="1:31" ht="131.25" customHeight="1" x14ac:dyDescent="0.25">
      <c r="A9" s="238"/>
      <c r="B9" s="242"/>
      <c r="C9" s="249"/>
      <c r="D9" s="249"/>
      <c r="E9" s="303"/>
      <c r="F9" s="246"/>
      <c r="G9" s="246"/>
      <c r="H9" s="242"/>
      <c r="I9" s="242"/>
      <c r="J9" s="242"/>
      <c r="K9" s="242"/>
      <c r="L9" s="242"/>
      <c r="M9" s="246"/>
      <c r="N9" s="229" t="s">
        <v>33</v>
      </c>
      <c r="O9" s="229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</row>
    <row r="10" spans="1:31" ht="15.75" x14ac:dyDescent="0.25">
      <c r="A10" s="230">
        <v>1</v>
      </c>
      <c r="B10" s="235">
        <v>2</v>
      </c>
      <c r="C10" s="232">
        <v>3</v>
      </c>
      <c r="D10" s="235">
        <v>4</v>
      </c>
      <c r="E10" s="232"/>
      <c r="F10" s="235">
        <v>6</v>
      </c>
      <c r="G10" s="232">
        <v>7</v>
      </c>
      <c r="H10" s="235">
        <v>8</v>
      </c>
      <c r="I10" s="232">
        <v>9</v>
      </c>
      <c r="J10" s="235">
        <v>10</v>
      </c>
      <c r="K10" s="232">
        <v>11</v>
      </c>
      <c r="L10" s="235">
        <v>12</v>
      </c>
      <c r="M10" s="232">
        <v>13</v>
      </c>
      <c r="N10" s="229">
        <v>14</v>
      </c>
      <c r="O10" s="235">
        <v>15</v>
      </c>
      <c r="P10" s="235">
        <f>O10+1</f>
        <v>16</v>
      </c>
      <c r="Q10" s="235">
        <f t="shared" ref="Q10:AD10" si="0">P10+1</f>
        <v>17</v>
      </c>
      <c r="R10" s="235">
        <f t="shared" si="0"/>
        <v>18</v>
      </c>
      <c r="S10" s="235">
        <f t="shared" si="0"/>
        <v>19</v>
      </c>
      <c r="T10" s="235">
        <f t="shared" si="0"/>
        <v>20</v>
      </c>
      <c r="U10" s="235">
        <f t="shared" si="0"/>
        <v>21</v>
      </c>
      <c r="V10" s="235">
        <f t="shared" si="0"/>
        <v>22</v>
      </c>
      <c r="W10" s="235">
        <f t="shared" si="0"/>
        <v>23</v>
      </c>
      <c r="X10" s="235">
        <f t="shared" si="0"/>
        <v>24</v>
      </c>
      <c r="Y10" s="235">
        <f t="shared" si="0"/>
        <v>25</v>
      </c>
      <c r="Z10" s="235">
        <f t="shared" si="0"/>
        <v>26</v>
      </c>
      <c r="AA10" s="235">
        <f t="shared" si="0"/>
        <v>27</v>
      </c>
      <c r="AB10" s="235">
        <f t="shared" si="0"/>
        <v>28</v>
      </c>
      <c r="AC10" s="235">
        <f t="shared" si="0"/>
        <v>29</v>
      </c>
      <c r="AD10" s="235">
        <f t="shared" si="0"/>
        <v>30</v>
      </c>
      <c r="AE10" s="235">
        <f>AD10+1</f>
        <v>31</v>
      </c>
    </row>
    <row r="11" spans="1:31" ht="25.5" x14ac:dyDescent="0.35">
      <c r="A11" s="305" t="s">
        <v>72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</row>
    <row r="12" spans="1:31" ht="78.75" x14ac:dyDescent="0.25">
      <c r="A12" s="23" t="s">
        <v>47</v>
      </c>
      <c r="B12" s="17" t="s">
        <v>49</v>
      </c>
      <c r="C12" s="17" t="s">
        <v>37</v>
      </c>
      <c r="D12" s="18" t="s">
        <v>38</v>
      </c>
      <c r="E12" s="19">
        <v>1</v>
      </c>
      <c r="F12" s="20">
        <f t="shared" ref="F12:F14" si="1">SUM(G12,M12,Q12,R12,S12,T12,V12,W12,X12,AD12,P12,U12)</f>
        <v>5786.6599999999989</v>
      </c>
      <c r="G12" s="20">
        <f t="shared" ref="G12:G14" si="2">SUM(H12:L12)</f>
        <v>3594.82</v>
      </c>
      <c r="H12" s="20">
        <v>2761</v>
      </c>
      <c r="I12" s="25">
        <v>0</v>
      </c>
      <c r="J12" s="25">
        <v>0</v>
      </c>
      <c r="K12" s="20">
        <f t="shared" ref="K12:K14" si="3">ROUND(H12*0.302,2)</f>
        <v>833.82</v>
      </c>
      <c r="L12" s="25">
        <v>0</v>
      </c>
      <c r="M12" s="21">
        <f>892.01-145.75</f>
        <v>746.26</v>
      </c>
      <c r="N12" s="25">
        <v>74.75</v>
      </c>
      <c r="O12" s="25">
        <v>16.88</v>
      </c>
      <c r="P12" s="26">
        <v>0</v>
      </c>
      <c r="Q12" s="25">
        <v>109.69</v>
      </c>
      <c r="R12" s="25">
        <v>75.430000000000007</v>
      </c>
      <c r="S12" s="25">
        <v>247.01</v>
      </c>
      <c r="T12" s="25">
        <v>9</v>
      </c>
      <c r="U12" s="20">
        <v>0</v>
      </c>
      <c r="V12" s="25">
        <v>9.6999999999999993</v>
      </c>
      <c r="W12" s="25">
        <v>38.44</v>
      </c>
      <c r="X12" s="20">
        <f t="shared" ref="X12:X14" si="4">SUM(Y12:AC12)</f>
        <v>937.08</v>
      </c>
      <c r="Y12" s="27">
        <v>719.72</v>
      </c>
      <c r="Z12" s="27">
        <v>0</v>
      </c>
      <c r="AA12" s="27">
        <v>0</v>
      </c>
      <c r="AB12" s="20">
        <f t="shared" ref="AB12:AB14" si="5">ROUND(Y12*0.302,2)</f>
        <v>217.36</v>
      </c>
      <c r="AC12" s="25">
        <v>0</v>
      </c>
      <c r="AD12" s="25">
        <f>21.24-2.01</f>
        <v>19.229999999999997</v>
      </c>
      <c r="AE12" s="27">
        <f>231.7+2.4</f>
        <v>234.1</v>
      </c>
    </row>
    <row r="13" spans="1:31" ht="63" x14ac:dyDescent="0.25">
      <c r="A13" s="23" t="s">
        <v>47</v>
      </c>
      <c r="B13" s="17" t="s">
        <v>50</v>
      </c>
      <c r="C13" s="17" t="s">
        <v>40</v>
      </c>
      <c r="D13" s="18" t="s">
        <v>38</v>
      </c>
      <c r="E13" s="19">
        <v>1</v>
      </c>
      <c r="F13" s="20">
        <f t="shared" si="1"/>
        <v>16247.58</v>
      </c>
      <c r="G13" s="20">
        <f t="shared" si="2"/>
        <v>11808.88</v>
      </c>
      <c r="H13" s="20">
        <v>9069.7999999999993</v>
      </c>
      <c r="I13" s="25">
        <v>0</v>
      </c>
      <c r="J13" s="25">
        <v>0</v>
      </c>
      <c r="K13" s="20">
        <f t="shared" si="3"/>
        <v>2739.08</v>
      </c>
      <c r="L13" s="25">
        <v>0</v>
      </c>
      <c r="M13" s="25">
        <v>1262.07</v>
      </c>
      <c r="N13" s="25">
        <v>1262.07</v>
      </c>
      <c r="O13" s="25">
        <v>0</v>
      </c>
      <c r="P13" s="26">
        <v>0</v>
      </c>
      <c r="Q13" s="25">
        <v>1847.73</v>
      </c>
      <c r="R13" s="25">
        <v>75.430000000000007</v>
      </c>
      <c r="S13" s="25">
        <v>247.01</v>
      </c>
      <c r="T13" s="25">
        <v>0</v>
      </c>
      <c r="U13" s="20">
        <v>0</v>
      </c>
      <c r="V13" s="25">
        <v>9.6999999999999993</v>
      </c>
      <c r="W13" s="25">
        <v>38.44</v>
      </c>
      <c r="X13" s="20">
        <f t="shared" si="4"/>
        <v>937.08</v>
      </c>
      <c r="Y13" s="27">
        <v>719.72</v>
      </c>
      <c r="Z13" s="27">
        <v>0</v>
      </c>
      <c r="AA13" s="27">
        <v>0</v>
      </c>
      <c r="AB13" s="20">
        <f t="shared" si="5"/>
        <v>217.36</v>
      </c>
      <c r="AC13" s="25">
        <v>0</v>
      </c>
      <c r="AD13" s="25">
        <v>21.24</v>
      </c>
      <c r="AE13" s="20"/>
    </row>
    <row r="14" spans="1:31" ht="47.25" x14ac:dyDescent="0.25">
      <c r="A14" s="23" t="s">
        <v>47</v>
      </c>
      <c r="B14" s="17" t="s">
        <v>41</v>
      </c>
      <c r="C14" s="17" t="s">
        <v>42</v>
      </c>
      <c r="D14" s="18" t="s">
        <v>38</v>
      </c>
      <c r="E14" s="19">
        <v>1</v>
      </c>
      <c r="F14" s="20">
        <f t="shared" si="1"/>
        <v>108951.47</v>
      </c>
      <c r="G14" s="20">
        <f t="shared" si="2"/>
        <v>82844.44</v>
      </c>
      <c r="H14" s="20">
        <v>63628.6</v>
      </c>
      <c r="I14" s="20">
        <v>0</v>
      </c>
      <c r="J14" s="20">
        <v>0</v>
      </c>
      <c r="K14" s="20">
        <f t="shared" si="3"/>
        <v>19215.84</v>
      </c>
      <c r="L14" s="20">
        <v>0</v>
      </c>
      <c r="M14" s="20">
        <v>797.36</v>
      </c>
      <c r="N14" s="20">
        <v>797.36</v>
      </c>
      <c r="O14" s="20">
        <v>0</v>
      </c>
      <c r="P14" s="20">
        <v>0</v>
      </c>
      <c r="Q14" s="20">
        <v>23980.77</v>
      </c>
      <c r="R14" s="20">
        <v>75.430000000000007</v>
      </c>
      <c r="S14" s="20">
        <v>247.01</v>
      </c>
      <c r="T14" s="20">
        <v>0</v>
      </c>
      <c r="U14" s="20">
        <v>0</v>
      </c>
      <c r="V14" s="20">
        <v>9.6999999999999993</v>
      </c>
      <c r="W14" s="27">
        <v>38.44</v>
      </c>
      <c r="X14" s="20">
        <f t="shared" si="4"/>
        <v>937.08</v>
      </c>
      <c r="Y14" s="27">
        <v>719.72</v>
      </c>
      <c r="Z14" s="20">
        <v>0</v>
      </c>
      <c r="AA14" s="20">
        <v>0</v>
      </c>
      <c r="AB14" s="20">
        <f t="shared" si="5"/>
        <v>217.36</v>
      </c>
      <c r="AC14" s="25">
        <v>0</v>
      </c>
      <c r="AD14" s="25">
        <v>21.24</v>
      </c>
      <c r="AE14" s="20"/>
    </row>
    <row r="15" spans="1:31" ht="25.5" x14ac:dyDescent="0.35">
      <c r="A15" s="305" t="s">
        <v>86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</row>
    <row r="16" spans="1:31" ht="78.75" x14ac:dyDescent="0.25">
      <c r="A16" s="23" t="s">
        <v>47</v>
      </c>
      <c r="B16" s="17" t="s">
        <v>49</v>
      </c>
      <c r="C16" s="17" t="s">
        <v>37</v>
      </c>
      <c r="D16" s="18" t="s">
        <v>38</v>
      </c>
      <c r="E16" s="19">
        <v>1</v>
      </c>
      <c r="F16" s="20">
        <f t="shared" ref="F16:F18" si="6">SUM(G16,M16,Q16,R16,S16,T16,V16,W16,X16,AD16,P16,U16)</f>
        <v>5926.5199999999995</v>
      </c>
      <c r="G16" s="20">
        <f t="shared" ref="G16:G18" si="7">SUM(H16:L16)</f>
        <v>3599.05</v>
      </c>
      <c r="H16" s="20">
        <v>2764.25</v>
      </c>
      <c r="I16" s="25">
        <v>0</v>
      </c>
      <c r="J16" s="25">
        <v>0</v>
      </c>
      <c r="K16" s="20">
        <f t="shared" ref="K16:K18" si="8">ROUND(H16*0.302,2)</f>
        <v>834.8</v>
      </c>
      <c r="L16" s="25">
        <v>0</v>
      </c>
      <c r="M16" s="21">
        <f>970.52-117.69</f>
        <v>852.82999999999993</v>
      </c>
      <c r="N16" s="25">
        <v>85.62</v>
      </c>
      <c r="O16" s="25">
        <v>16.88</v>
      </c>
      <c r="P16" s="26">
        <v>0</v>
      </c>
      <c r="Q16" s="25">
        <v>109.69</v>
      </c>
      <c r="R16" s="25">
        <v>75.81</v>
      </c>
      <c r="S16" s="25">
        <v>256.16000000000003</v>
      </c>
      <c r="T16" s="25">
        <v>9.11</v>
      </c>
      <c r="U16" s="20">
        <v>0</v>
      </c>
      <c r="V16" s="25">
        <v>10.210000000000001</v>
      </c>
      <c r="W16" s="25">
        <v>39.119999999999997</v>
      </c>
      <c r="X16" s="20">
        <f t="shared" ref="X16:X18" si="9">SUM(Y16:AC16)</f>
        <v>953.23</v>
      </c>
      <c r="Y16" s="27">
        <v>732.13</v>
      </c>
      <c r="Z16" s="27">
        <v>0</v>
      </c>
      <c r="AA16" s="27">
        <v>0</v>
      </c>
      <c r="AB16" s="20">
        <f t="shared" ref="AB16:AB18" si="10">ROUND(Y16*0.302,2)</f>
        <v>221.1</v>
      </c>
      <c r="AC16" s="25">
        <v>0</v>
      </c>
      <c r="AD16" s="25">
        <f>21.92-0.61</f>
        <v>21.310000000000002</v>
      </c>
      <c r="AE16" s="27">
        <v>208.3</v>
      </c>
    </row>
    <row r="17" spans="1:31" ht="63" x14ac:dyDescent="0.25">
      <c r="A17" s="23" t="s">
        <v>47</v>
      </c>
      <c r="B17" s="17" t="s">
        <v>50</v>
      </c>
      <c r="C17" s="17" t="s">
        <v>40</v>
      </c>
      <c r="D17" s="18" t="s">
        <v>38</v>
      </c>
      <c r="E17" s="19">
        <v>1</v>
      </c>
      <c r="F17" s="20">
        <f t="shared" si="6"/>
        <v>16409.990000000002</v>
      </c>
      <c r="G17" s="20">
        <f t="shared" si="7"/>
        <v>11615.730000000001</v>
      </c>
      <c r="H17" s="20">
        <v>8921.4500000000007</v>
      </c>
      <c r="I17" s="25">
        <v>0</v>
      </c>
      <c r="J17" s="25">
        <v>0</v>
      </c>
      <c r="K17" s="20">
        <f t="shared" si="8"/>
        <v>2694.28</v>
      </c>
      <c r="L17" s="25">
        <v>0</v>
      </c>
      <c r="M17" s="25">
        <v>1593.11</v>
      </c>
      <c r="N17" s="25">
        <v>1593.11</v>
      </c>
      <c r="O17" s="25">
        <v>0</v>
      </c>
      <c r="P17" s="26">
        <v>0</v>
      </c>
      <c r="Q17" s="25">
        <v>1847.73</v>
      </c>
      <c r="R17" s="25">
        <v>75.81</v>
      </c>
      <c r="S17" s="25">
        <v>256.16000000000003</v>
      </c>
      <c r="T17" s="25">
        <v>0</v>
      </c>
      <c r="U17" s="20">
        <v>0</v>
      </c>
      <c r="V17" s="25">
        <v>10.210000000000001</v>
      </c>
      <c r="W17" s="25">
        <v>39.119999999999997</v>
      </c>
      <c r="X17" s="20">
        <f t="shared" si="9"/>
        <v>953.23</v>
      </c>
      <c r="Y17" s="27">
        <v>732.13</v>
      </c>
      <c r="Z17" s="27">
        <v>0</v>
      </c>
      <c r="AA17" s="27">
        <v>0</v>
      </c>
      <c r="AB17" s="20">
        <f t="shared" si="10"/>
        <v>221.1</v>
      </c>
      <c r="AC17" s="25">
        <v>0</v>
      </c>
      <c r="AD17" s="25">
        <f>21.92-3.03</f>
        <v>18.89</v>
      </c>
      <c r="AE17" s="27">
        <v>0</v>
      </c>
    </row>
    <row r="18" spans="1:31" ht="47.25" x14ac:dyDescent="0.25">
      <c r="A18" s="23" t="s">
        <v>47</v>
      </c>
      <c r="B18" s="17" t="s">
        <v>41</v>
      </c>
      <c r="C18" s="17" t="s">
        <v>42</v>
      </c>
      <c r="D18" s="18" t="s">
        <v>38</v>
      </c>
      <c r="E18" s="19">
        <v>1</v>
      </c>
      <c r="F18" s="20">
        <f t="shared" si="6"/>
        <v>110053.24</v>
      </c>
      <c r="G18" s="20">
        <f t="shared" si="7"/>
        <v>81532.19</v>
      </c>
      <c r="H18" s="20">
        <v>62620.73</v>
      </c>
      <c r="I18" s="20">
        <v>0</v>
      </c>
      <c r="J18" s="20">
        <v>0</v>
      </c>
      <c r="K18" s="20">
        <f t="shared" si="8"/>
        <v>18911.46</v>
      </c>
      <c r="L18" s="20">
        <v>0</v>
      </c>
      <c r="M18" s="20">
        <v>2414.6</v>
      </c>
      <c r="N18" s="20">
        <v>2414.6</v>
      </c>
      <c r="O18" s="20">
        <v>0</v>
      </c>
      <c r="P18" s="20">
        <v>0</v>
      </c>
      <c r="Q18" s="20">
        <v>24750</v>
      </c>
      <c r="R18" s="20">
        <v>75.81</v>
      </c>
      <c r="S18" s="20">
        <v>256.16000000000003</v>
      </c>
      <c r="T18" s="20">
        <v>0</v>
      </c>
      <c r="U18" s="20">
        <v>0</v>
      </c>
      <c r="V18" s="20">
        <v>10.210000000000001</v>
      </c>
      <c r="W18" s="27">
        <v>39.119999999999997</v>
      </c>
      <c r="X18" s="20">
        <f t="shared" si="9"/>
        <v>953.23</v>
      </c>
      <c r="Y18" s="27">
        <v>732.13</v>
      </c>
      <c r="Z18" s="20">
        <v>0</v>
      </c>
      <c r="AA18" s="20">
        <v>0</v>
      </c>
      <c r="AB18" s="20">
        <f t="shared" si="10"/>
        <v>221.1</v>
      </c>
      <c r="AC18" s="25">
        <v>0</v>
      </c>
      <c r="AD18" s="25">
        <v>21.92</v>
      </c>
      <c r="AE18" s="20">
        <v>0</v>
      </c>
    </row>
    <row r="19" spans="1:31" ht="25.5" x14ac:dyDescent="0.35">
      <c r="A19" s="305" t="s">
        <v>154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</row>
    <row r="20" spans="1:31" ht="78.75" x14ac:dyDescent="0.25">
      <c r="A20" s="236" t="s">
        <v>47</v>
      </c>
      <c r="B20" s="17" t="s">
        <v>49</v>
      </c>
      <c r="C20" s="235" t="s">
        <v>37</v>
      </c>
      <c r="D20" s="18" t="s">
        <v>38</v>
      </c>
      <c r="E20" s="19">
        <v>1</v>
      </c>
      <c r="F20" s="20">
        <f t="shared" ref="F20:F22" si="11">SUM(G20,M20,Q20,R20,S20,T20,V20,W20,X20,AD20,P20,U20)</f>
        <v>5925.79</v>
      </c>
      <c r="G20" s="20">
        <f t="shared" ref="G20:G22" si="12">SUM(H20:L20)</f>
        <v>3625.78</v>
      </c>
      <c r="H20" s="20">
        <v>2784.78</v>
      </c>
      <c r="I20" s="25">
        <v>0</v>
      </c>
      <c r="J20" s="25">
        <v>0</v>
      </c>
      <c r="K20" s="20">
        <f t="shared" ref="K20:K22" si="13">ROUND(H20*0.302,2)</f>
        <v>841</v>
      </c>
      <c r="L20" s="25">
        <v>0</v>
      </c>
      <c r="M20" s="21">
        <f>970.52-145.15</f>
        <v>825.37</v>
      </c>
      <c r="N20" s="25">
        <v>85.62</v>
      </c>
      <c r="O20" s="25">
        <v>16.88</v>
      </c>
      <c r="P20" s="26">
        <v>0</v>
      </c>
      <c r="Q20" s="25">
        <v>109.69</v>
      </c>
      <c r="R20" s="25">
        <v>75.81</v>
      </c>
      <c r="S20" s="25">
        <v>256.16000000000003</v>
      </c>
      <c r="T20" s="25">
        <v>9.11</v>
      </c>
      <c r="U20" s="20">
        <v>0</v>
      </c>
      <c r="V20" s="25">
        <v>10.210000000000001</v>
      </c>
      <c r="W20" s="25">
        <v>39.119999999999997</v>
      </c>
      <c r="X20" s="20">
        <f t="shared" ref="X20:X22" si="14">SUM(Y20:AC20)</f>
        <v>953.23</v>
      </c>
      <c r="Y20" s="27">
        <v>732.13</v>
      </c>
      <c r="Z20" s="27">
        <v>0</v>
      </c>
      <c r="AA20" s="27">
        <v>0</v>
      </c>
      <c r="AB20" s="20">
        <f t="shared" ref="AB20:AB22" si="15">ROUND(Y20*0.302,2)</f>
        <v>221.1</v>
      </c>
      <c r="AC20" s="25">
        <v>0</v>
      </c>
      <c r="AD20" s="25">
        <f>21.92-0.61</f>
        <v>21.310000000000002</v>
      </c>
      <c r="AE20" s="27">
        <v>208.3</v>
      </c>
    </row>
    <row r="21" spans="1:31" ht="63" x14ac:dyDescent="0.25">
      <c r="A21" s="236" t="s">
        <v>47</v>
      </c>
      <c r="B21" s="17" t="s">
        <v>50</v>
      </c>
      <c r="C21" s="235" t="s">
        <v>40</v>
      </c>
      <c r="D21" s="18" t="s">
        <v>38</v>
      </c>
      <c r="E21" s="19">
        <v>1</v>
      </c>
      <c r="F21" s="20">
        <f t="shared" si="11"/>
        <v>16496.269999999997</v>
      </c>
      <c r="G21" s="20">
        <f t="shared" si="12"/>
        <v>11702.009999999998</v>
      </c>
      <c r="H21" s="20">
        <v>8987.7199999999993</v>
      </c>
      <c r="I21" s="25">
        <v>0</v>
      </c>
      <c r="J21" s="25">
        <v>0</v>
      </c>
      <c r="K21" s="20">
        <f t="shared" si="13"/>
        <v>2714.29</v>
      </c>
      <c r="L21" s="25">
        <v>0</v>
      </c>
      <c r="M21" s="25">
        <v>1593.11</v>
      </c>
      <c r="N21" s="25">
        <v>1593.11</v>
      </c>
      <c r="O21" s="25">
        <v>0</v>
      </c>
      <c r="P21" s="26">
        <v>0</v>
      </c>
      <c r="Q21" s="25">
        <v>1847.73</v>
      </c>
      <c r="R21" s="25">
        <v>75.81</v>
      </c>
      <c r="S21" s="25">
        <v>256.16000000000003</v>
      </c>
      <c r="T21" s="25">
        <v>0</v>
      </c>
      <c r="U21" s="20">
        <v>0</v>
      </c>
      <c r="V21" s="25">
        <v>10.210000000000001</v>
      </c>
      <c r="W21" s="25">
        <v>39.119999999999997</v>
      </c>
      <c r="X21" s="20">
        <f t="shared" si="14"/>
        <v>953.23</v>
      </c>
      <c r="Y21" s="27">
        <v>732.13</v>
      </c>
      <c r="Z21" s="27">
        <v>0</v>
      </c>
      <c r="AA21" s="27">
        <v>0</v>
      </c>
      <c r="AB21" s="20">
        <f t="shared" si="15"/>
        <v>221.1</v>
      </c>
      <c r="AC21" s="25">
        <v>0</v>
      </c>
      <c r="AD21" s="25">
        <f>21.92-3.03</f>
        <v>18.89</v>
      </c>
      <c r="AE21" s="27">
        <v>0</v>
      </c>
    </row>
    <row r="22" spans="1:31" ht="47.25" x14ac:dyDescent="0.25">
      <c r="A22" s="236" t="s">
        <v>47</v>
      </c>
      <c r="B22" s="235" t="s">
        <v>41</v>
      </c>
      <c r="C22" s="17" t="s">
        <v>42</v>
      </c>
      <c r="D22" s="18" t="s">
        <v>38</v>
      </c>
      <c r="E22" s="19">
        <v>1</v>
      </c>
      <c r="F22" s="20">
        <f t="shared" si="11"/>
        <v>110658.85</v>
      </c>
      <c r="G22" s="20">
        <f t="shared" si="12"/>
        <v>82137.8</v>
      </c>
      <c r="H22" s="20">
        <v>63085.87</v>
      </c>
      <c r="I22" s="20">
        <v>0</v>
      </c>
      <c r="J22" s="20">
        <v>0</v>
      </c>
      <c r="K22" s="20">
        <f t="shared" si="13"/>
        <v>19051.93</v>
      </c>
      <c r="L22" s="20">
        <v>0</v>
      </c>
      <c r="M22" s="20">
        <v>2414.6</v>
      </c>
      <c r="N22" s="20">
        <v>2414.6</v>
      </c>
      <c r="O22" s="20">
        <v>0</v>
      </c>
      <c r="P22" s="20">
        <v>0</v>
      </c>
      <c r="Q22" s="20">
        <v>24750</v>
      </c>
      <c r="R22" s="20">
        <v>75.81</v>
      </c>
      <c r="S22" s="20">
        <v>256.16000000000003</v>
      </c>
      <c r="T22" s="20">
        <v>0</v>
      </c>
      <c r="U22" s="20">
        <v>0</v>
      </c>
      <c r="V22" s="20">
        <v>10.210000000000001</v>
      </c>
      <c r="W22" s="27">
        <v>39.119999999999997</v>
      </c>
      <c r="X22" s="20">
        <f t="shared" si="14"/>
        <v>953.23</v>
      </c>
      <c r="Y22" s="27">
        <v>732.13</v>
      </c>
      <c r="Z22" s="20">
        <v>0</v>
      </c>
      <c r="AA22" s="20">
        <v>0</v>
      </c>
      <c r="AB22" s="20">
        <f t="shared" si="15"/>
        <v>221.1</v>
      </c>
      <c r="AC22" s="25">
        <v>0</v>
      </c>
      <c r="AD22" s="25">
        <v>21.92</v>
      </c>
      <c r="AE22" s="20">
        <v>0</v>
      </c>
    </row>
    <row r="24" spans="1:31" ht="75.75" customHeight="1" x14ac:dyDescent="0.25">
      <c r="A24" s="304" t="s">
        <v>164</v>
      </c>
      <c r="B24" s="304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</row>
    <row r="26" spans="1:31" ht="15.75" customHeight="1" x14ac:dyDescent="0.25">
      <c r="A26" s="238" t="s">
        <v>0</v>
      </c>
      <c r="B26" s="242" t="s">
        <v>1</v>
      </c>
      <c r="C26" s="303" t="s">
        <v>2</v>
      </c>
      <c r="D26" s="303"/>
      <c r="E26" s="303"/>
      <c r="F26" s="242" t="s">
        <v>3</v>
      </c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</row>
    <row r="27" spans="1:31" ht="15.75" x14ac:dyDescent="0.25">
      <c r="A27" s="238"/>
      <c r="B27" s="242"/>
      <c r="C27" s="249" t="s">
        <v>7</v>
      </c>
      <c r="D27" s="249" t="s">
        <v>8</v>
      </c>
      <c r="E27" s="303" t="s">
        <v>144</v>
      </c>
      <c r="F27" s="246" t="s">
        <v>10</v>
      </c>
      <c r="G27" s="250" t="s">
        <v>11</v>
      </c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</row>
    <row r="28" spans="1:31" ht="15.75" x14ac:dyDescent="0.25">
      <c r="A28" s="238"/>
      <c r="B28" s="242"/>
      <c r="C28" s="249"/>
      <c r="D28" s="249"/>
      <c r="E28" s="303"/>
      <c r="F28" s="246"/>
      <c r="G28" s="242" t="s">
        <v>12</v>
      </c>
      <c r="H28" s="242"/>
      <c r="I28" s="242"/>
      <c r="J28" s="242"/>
      <c r="K28" s="242"/>
      <c r="L28" s="242"/>
      <c r="M28" s="242" t="s">
        <v>13</v>
      </c>
      <c r="N28" s="242"/>
      <c r="O28" s="242"/>
      <c r="P28" s="242" t="s">
        <v>14</v>
      </c>
      <c r="Q28" s="242" t="s">
        <v>15</v>
      </c>
      <c r="R28" s="242" t="s">
        <v>16</v>
      </c>
      <c r="S28" s="242" t="s">
        <v>17</v>
      </c>
      <c r="T28" s="242" t="s">
        <v>18</v>
      </c>
      <c r="U28" s="242" t="s">
        <v>19</v>
      </c>
      <c r="V28" s="242" t="s">
        <v>20</v>
      </c>
      <c r="W28" s="242" t="s">
        <v>21</v>
      </c>
      <c r="X28" s="242" t="s">
        <v>22</v>
      </c>
      <c r="Y28" s="242"/>
      <c r="Z28" s="242"/>
      <c r="AA28" s="242"/>
      <c r="AB28" s="242"/>
      <c r="AC28" s="242"/>
      <c r="AD28" s="242" t="s">
        <v>23</v>
      </c>
    </row>
    <row r="29" spans="1:31" ht="15.75" x14ac:dyDescent="0.25">
      <c r="A29" s="238"/>
      <c r="B29" s="242"/>
      <c r="C29" s="249"/>
      <c r="D29" s="249"/>
      <c r="E29" s="303"/>
      <c r="F29" s="246"/>
      <c r="G29" s="246" t="s">
        <v>24</v>
      </c>
      <c r="H29" s="242" t="s">
        <v>11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6" t="s">
        <v>25</v>
      </c>
      <c r="Y29" s="242" t="s">
        <v>11</v>
      </c>
      <c r="Z29" s="242"/>
      <c r="AA29" s="242"/>
      <c r="AB29" s="242"/>
      <c r="AC29" s="242"/>
      <c r="AD29" s="242"/>
    </row>
    <row r="30" spans="1:31" ht="62.25" customHeight="1" x14ac:dyDescent="0.25">
      <c r="A30" s="238"/>
      <c r="B30" s="242"/>
      <c r="C30" s="249"/>
      <c r="D30" s="249"/>
      <c r="E30" s="303"/>
      <c r="F30" s="246"/>
      <c r="G30" s="246"/>
      <c r="H30" s="242" t="s">
        <v>26</v>
      </c>
      <c r="I30" s="242" t="s">
        <v>27</v>
      </c>
      <c r="J30" s="242" t="s">
        <v>28</v>
      </c>
      <c r="K30" s="242" t="s">
        <v>29</v>
      </c>
      <c r="L30" s="242" t="s">
        <v>30</v>
      </c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6"/>
      <c r="Y30" s="242" t="s">
        <v>26</v>
      </c>
      <c r="Z30" s="242" t="s">
        <v>27</v>
      </c>
      <c r="AA30" s="242" t="s">
        <v>28</v>
      </c>
      <c r="AB30" s="242" t="s">
        <v>29</v>
      </c>
      <c r="AC30" s="242" t="s">
        <v>30</v>
      </c>
      <c r="AD30" s="242"/>
    </row>
    <row r="31" spans="1:31" ht="15.75" x14ac:dyDescent="0.25">
      <c r="A31" s="238"/>
      <c r="B31" s="242"/>
      <c r="C31" s="249"/>
      <c r="D31" s="249"/>
      <c r="E31" s="303"/>
      <c r="F31" s="246"/>
      <c r="G31" s="246"/>
      <c r="H31" s="242"/>
      <c r="I31" s="242"/>
      <c r="J31" s="242"/>
      <c r="K31" s="242"/>
      <c r="L31" s="242"/>
      <c r="M31" s="246" t="s">
        <v>31</v>
      </c>
      <c r="N31" s="242" t="s">
        <v>32</v>
      </c>
      <c r="O31" s="242"/>
      <c r="P31" s="242"/>
      <c r="Q31" s="242"/>
      <c r="R31" s="242"/>
      <c r="S31" s="242"/>
      <c r="T31" s="242"/>
      <c r="U31" s="242"/>
      <c r="V31" s="242"/>
      <c r="W31" s="242"/>
      <c r="X31" s="246"/>
      <c r="Y31" s="242"/>
      <c r="Z31" s="242"/>
      <c r="AA31" s="242"/>
      <c r="AB31" s="242"/>
      <c r="AC31" s="242"/>
      <c r="AD31" s="242"/>
    </row>
    <row r="32" spans="1:31" ht="138.75" customHeight="1" x14ac:dyDescent="0.25">
      <c r="A32" s="238"/>
      <c r="B32" s="242"/>
      <c r="C32" s="249"/>
      <c r="D32" s="249"/>
      <c r="E32" s="303"/>
      <c r="F32" s="246"/>
      <c r="G32" s="246"/>
      <c r="H32" s="242"/>
      <c r="I32" s="242"/>
      <c r="J32" s="242"/>
      <c r="K32" s="242"/>
      <c r="L32" s="242"/>
      <c r="M32" s="246"/>
      <c r="N32" s="229" t="s">
        <v>33</v>
      </c>
      <c r="O32" s="229" t="s">
        <v>34</v>
      </c>
      <c r="P32" s="242"/>
      <c r="Q32" s="242"/>
      <c r="R32" s="242"/>
      <c r="S32" s="242"/>
      <c r="T32" s="242"/>
      <c r="U32" s="242"/>
      <c r="V32" s="242"/>
      <c r="W32" s="242"/>
      <c r="X32" s="246"/>
      <c r="Y32" s="242"/>
      <c r="Z32" s="242"/>
      <c r="AA32" s="242"/>
      <c r="AB32" s="242"/>
      <c r="AC32" s="242"/>
      <c r="AD32" s="242"/>
    </row>
    <row r="33" spans="1:31" ht="15.75" x14ac:dyDescent="0.25">
      <c r="A33" s="230">
        <v>1</v>
      </c>
      <c r="B33" s="235">
        <v>2</v>
      </c>
      <c r="C33" s="232">
        <v>3</v>
      </c>
      <c r="D33" s="235">
        <v>4</v>
      </c>
      <c r="E33" s="232">
        <v>5</v>
      </c>
      <c r="F33" s="235">
        <v>6</v>
      </c>
      <c r="G33" s="232">
        <v>7</v>
      </c>
      <c r="H33" s="235">
        <v>8</v>
      </c>
      <c r="I33" s="232">
        <v>9</v>
      </c>
      <c r="J33" s="235">
        <v>10</v>
      </c>
      <c r="K33" s="232">
        <v>11</v>
      </c>
      <c r="L33" s="235">
        <v>12</v>
      </c>
      <c r="M33" s="232">
        <v>13</v>
      </c>
      <c r="N33" s="235">
        <v>14</v>
      </c>
      <c r="O33" s="232">
        <v>15</v>
      </c>
      <c r="P33" s="235">
        <v>16</v>
      </c>
      <c r="Q33" s="232">
        <v>17</v>
      </c>
      <c r="R33" s="235">
        <v>18</v>
      </c>
      <c r="S33" s="232">
        <v>19</v>
      </c>
      <c r="T33" s="235">
        <v>20</v>
      </c>
      <c r="U33" s="232">
        <v>21</v>
      </c>
      <c r="V33" s="235">
        <v>22</v>
      </c>
      <c r="W33" s="232">
        <v>23</v>
      </c>
      <c r="X33" s="235">
        <v>24</v>
      </c>
      <c r="Y33" s="232">
        <v>25</v>
      </c>
      <c r="Z33" s="235">
        <v>26</v>
      </c>
      <c r="AA33" s="232">
        <v>27</v>
      </c>
      <c r="AB33" s="235">
        <v>28</v>
      </c>
      <c r="AC33" s="232">
        <v>29</v>
      </c>
      <c r="AD33" s="235">
        <v>30</v>
      </c>
    </row>
    <row r="34" spans="1:31" ht="25.5" x14ac:dyDescent="0.35">
      <c r="A34" s="305" t="s">
        <v>72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</row>
    <row r="35" spans="1:31" ht="47.25" x14ac:dyDescent="0.25">
      <c r="A35" s="115" t="s">
        <v>148</v>
      </c>
      <c r="B35" s="17" t="s">
        <v>142</v>
      </c>
      <c r="C35" s="17" t="s">
        <v>143</v>
      </c>
      <c r="D35" s="18" t="s">
        <v>38</v>
      </c>
      <c r="E35" s="19">
        <v>1</v>
      </c>
      <c r="F35" s="20">
        <f t="shared" ref="F35" si="16">SUM(G35,M35,Q35,R35,S35,T35,V35,W35,X35,AD35,P35,U35)</f>
        <v>2926132.96</v>
      </c>
      <c r="G35" s="20">
        <f t="shared" ref="G35" si="17">SUM(H35:L35)</f>
        <v>1517362.09</v>
      </c>
      <c r="H35" s="22">
        <v>1165408.6700000002</v>
      </c>
      <c r="I35" s="25">
        <v>0</v>
      </c>
      <c r="J35" s="25">
        <v>0</v>
      </c>
      <c r="K35" s="20">
        <f t="shared" ref="K35" si="18">ROUND(H35*0.302,2)</f>
        <v>351953.42</v>
      </c>
      <c r="L35" s="20">
        <v>0</v>
      </c>
      <c r="M35" s="20">
        <v>319201.09999999998</v>
      </c>
      <c r="N35" s="20">
        <v>316124.40000000002</v>
      </c>
      <c r="O35" s="20">
        <v>0</v>
      </c>
      <c r="P35" s="20">
        <v>0</v>
      </c>
      <c r="Q35" s="20">
        <v>128236.7</v>
      </c>
      <c r="R35" s="20">
        <v>1655.58</v>
      </c>
      <c r="S35" s="20">
        <v>0</v>
      </c>
      <c r="T35" s="20">
        <v>99872.8</v>
      </c>
      <c r="U35" s="20">
        <v>0</v>
      </c>
      <c r="V35" s="20">
        <v>0</v>
      </c>
      <c r="W35" s="20">
        <v>0</v>
      </c>
      <c r="X35" s="20">
        <f>SUM(Y35:AC35)</f>
        <v>610121.63</v>
      </c>
      <c r="Y35" s="20">
        <v>468603.4</v>
      </c>
      <c r="Z35" s="27">
        <v>0</v>
      </c>
      <c r="AA35" s="27">
        <v>0</v>
      </c>
      <c r="AB35" s="20">
        <f t="shared" ref="AB35" si="19">ROUND(Y35*0.302,2)</f>
        <v>141518.23000000001</v>
      </c>
      <c r="AC35" s="20">
        <v>0</v>
      </c>
      <c r="AD35" s="20">
        <v>249683.06</v>
      </c>
    </row>
    <row r="36" spans="1:31" ht="25.5" x14ac:dyDescent="0.35">
      <c r="A36" s="305" t="s">
        <v>86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</row>
    <row r="37" spans="1:31" ht="47.25" x14ac:dyDescent="0.25">
      <c r="A37" s="115" t="s">
        <v>148</v>
      </c>
      <c r="B37" s="17" t="s">
        <v>142</v>
      </c>
      <c r="C37" s="17" t="s">
        <v>143</v>
      </c>
      <c r="D37" s="18" t="s">
        <v>38</v>
      </c>
      <c r="E37" s="19">
        <v>1</v>
      </c>
      <c r="F37" s="20">
        <v>2909327</v>
      </c>
      <c r="G37" s="20">
        <v>1502212.71</v>
      </c>
      <c r="H37" s="22">
        <v>1153773.2</v>
      </c>
      <c r="I37" s="25">
        <v>0</v>
      </c>
      <c r="J37" s="25">
        <v>0</v>
      </c>
      <c r="K37" s="20">
        <v>348439.51</v>
      </c>
      <c r="L37" s="20">
        <v>0</v>
      </c>
      <c r="M37" s="20">
        <v>319201.09999999998</v>
      </c>
      <c r="N37" s="20">
        <v>316124.40000000002</v>
      </c>
      <c r="O37" s="20">
        <v>0</v>
      </c>
      <c r="P37" s="20">
        <v>0</v>
      </c>
      <c r="Q37" s="20">
        <v>128236.7</v>
      </c>
      <c r="R37" s="20">
        <v>0</v>
      </c>
      <c r="S37" s="20">
        <v>0</v>
      </c>
      <c r="T37" s="20">
        <v>99872.8</v>
      </c>
      <c r="U37" s="20">
        <v>0</v>
      </c>
      <c r="V37" s="20">
        <v>0</v>
      </c>
      <c r="W37" s="20">
        <v>0</v>
      </c>
      <c r="X37" s="20">
        <v>610121.63</v>
      </c>
      <c r="Y37" s="20">
        <v>468603.4</v>
      </c>
      <c r="Z37" s="20">
        <v>0</v>
      </c>
      <c r="AA37" s="20">
        <v>0</v>
      </c>
      <c r="AB37" s="20">
        <v>141518.23000000001</v>
      </c>
      <c r="AC37" s="20">
        <v>0</v>
      </c>
      <c r="AD37" s="20">
        <v>249682.06</v>
      </c>
    </row>
  </sheetData>
  <mergeCells count="82">
    <mergeCell ref="A34:AE34"/>
    <mergeCell ref="A36:AE36"/>
    <mergeCell ref="A1:AE1"/>
    <mergeCell ref="A11:AE1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R5:R9"/>
    <mergeCell ref="S5:S9"/>
    <mergeCell ref="V5:V9"/>
    <mergeCell ref="W5:W9"/>
    <mergeCell ref="X5:AC5"/>
    <mergeCell ref="AD5:AD9"/>
    <mergeCell ref="Z7:Z9"/>
    <mergeCell ref="AA7:AA9"/>
    <mergeCell ref="AB7:AB9"/>
    <mergeCell ref="AC7:AC9"/>
    <mergeCell ref="M8:M9"/>
    <mergeCell ref="N8:O8"/>
    <mergeCell ref="A15:AE15"/>
    <mergeCell ref="A19:AE19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A24:AE24"/>
    <mergeCell ref="A26:A32"/>
    <mergeCell ref="B26:B32"/>
    <mergeCell ref="C26:E26"/>
    <mergeCell ref="F26:AD26"/>
    <mergeCell ref="C27:C32"/>
    <mergeCell ref="D27:D32"/>
    <mergeCell ref="E27:E32"/>
    <mergeCell ref="F27:F32"/>
    <mergeCell ref="G27:AD27"/>
    <mergeCell ref="G28:L28"/>
    <mergeCell ref="M28:O30"/>
    <mergeCell ref="P28:P32"/>
    <mergeCell ref="Q28:Q32"/>
    <mergeCell ref="R28:R32"/>
    <mergeCell ref="S28:S32"/>
    <mergeCell ref="AD28:AD32"/>
    <mergeCell ref="G29:G32"/>
    <mergeCell ref="H29:L29"/>
    <mergeCell ref="X29:X32"/>
    <mergeCell ref="Y29:AC29"/>
    <mergeCell ref="H30:H32"/>
    <mergeCell ref="I30:I32"/>
    <mergeCell ref="J30:J32"/>
    <mergeCell ref="K30:K32"/>
    <mergeCell ref="L30:L32"/>
    <mergeCell ref="Y30:Y32"/>
    <mergeCell ref="U28:U32"/>
    <mergeCell ref="V28:V32"/>
    <mergeCell ref="W28:W32"/>
    <mergeCell ref="X28:AC28"/>
    <mergeCell ref="AA30:AA32"/>
    <mergeCell ref="AB30:AB32"/>
    <mergeCell ref="AC30:AC32"/>
    <mergeCell ref="M31:M32"/>
    <mergeCell ref="N31:O31"/>
    <mergeCell ref="Z30:Z32"/>
    <mergeCell ref="T28:T32"/>
  </mergeCells>
  <pageMargins left="0.25" right="0.25" top="0.75" bottom="0.75" header="0.3" footer="0.3"/>
  <pageSetup paperSize="9" scale="23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"/>
  <sheetViews>
    <sheetView view="pageBreakPreview" zoomScale="60" zoomScaleNormal="55" workbookViewId="0">
      <selection activeCell="F32" sqref="A1:XFD1048576"/>
    </sheetView>
  </sheetViews>
  <sheetFormatPr defaultRowHeight="15" x14ac:dyDescent="0.25"/>
  <cols>
    <col min="1" max="1" width="27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2.570312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.8554687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5703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04" t="s">
        <v>165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</row>
    <row r="3" spans="1:31" ht="15.75" customHeight="1" x14ac:dyDescent="0.25">
      <c r="A3" s="247" t="s">
        <v>0</v>
      </c>
      <c r="B3" s="243" t="s">
        <v>1</v>
      </c>
      <c r="C3" s="248" t="s">
        <v>2</v>
      </c>
      <c r="D3" s="248"/>
      <c r="E3" s="231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5</v>
      </c>
    </row>
    <row r="4" spans="1:31" ht="15.75" customHeight="1" x14ac:dyDescent="0.25">
      <c r="A4" s="238"/>
      <c r="B4" s="242"/>
      <c r="C4" s="249" t="s">
        <v>7</v>
      </c>
      <c r="D4" s="249" t="s">
        <v>8</v>
      </c>
      <c r="E4" s="303" t="s">
        <v>144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</row>
    <row r="5" spans="1:31" ht="15.75" x14ac:dyDescent="0.25">
      <c r="A5" s="238"/>
      <c r="B5" s="242"/>
      <c r="C5" s="249"/>
      <c r="D5" s="249"/>
      <c r="E5" s="303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</row>
    <row r="6" spans="1:31" ht="15.75" x14ac:dyDescent="0.25">
      <c r="A6" s="238"/>
      <c r="B6" s="242"/>
      <c r="C6" s="249"/>
      <c r="D6" s="249"/>
      <c r="E6" s="303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</row>
    <row r="7" spans="1:31" ht="66" customHeight="1" x14ac:dyDescent="0.25">
      <c r="A7" s="238"/>
      <c r="B7" s="242"/>
      <c r="C7" s="249"/>
      <c r="D7" s="249"/>
      <c r="E7" s="303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</row>
    <row r="8" spans="1:31" ht="15.75" x14ac:dyDescent="0.25">
      <c r="A8" s="238"/>
      <c r="B8" s="242"/>
      <c r="C8" s="249"/>
      <c r="D8" s="249"/>
      <c r="E8" s="303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</row>
    <row r="9" spans="1:31" ht="104.25" customHeight="1" x14ac:dyDescent="0.25">
      <c r="A9" s="238"/>
      <c r="B9" s="242"/>
      <c r="C9" s="249"/>
      <c r="D9" s="249"/>
      <c r="E9" s="303"/>
      <c r="F9" s="246"/>
      <c r="G9" s="246"/>
      <c r="H9" s="242"/>
      <c r="I9" s="242"/>
      <c r="J9" s="242"/>
      <c r="K9" s="242"/>
      <c r="L9" s="242"/>
      <c r="M9" s="246"/>
      <c r="N9" s="229" t="s">
        <v>33</v>
      </c>
      <c r="O9" s="229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</row>
    <row r="10" spans="1:31" ht="15.75" x14ac:dyDescent="0.25">
      <c r="A10" s="230">
        <v>1</v>
      </c>
      <c r="B10" s="235">
        <v>2</v>
      </c>
      <c r="C10" s="232">
        <v>3</v>
      </c>
      <c r="D10" s="235">
        <v>4</v>
      </c>
      <c r="E10" s="232"/>
      <c r="F10" s="235">
        <v>6</v>
      </c>
      <c r="G10" s="232">
        <v>7</v>
      </c>
      <c r="H10" s="235">
        <v>8</v>
      </c>
      <c r="I10" s="232">
        <v>9</v>
      </c>
      <c r="J10" s="235">
        <v>10</v>
      </c>
      <c r="K10" s="232">
        <v>11</v>
      </c>
      <c r="L10" s="235">
        <v>12</v>
      </c>
      <c r="M10" s="232">
        <v>13</v>
      </c>
      <c r="N10" s="229">
        <v>14</v>
      </c>
      <c r="O10" s="235">
        <v>15</v>
      </c>
      <c r="P10" s="235">
        <f>O10+1</f>
        <v>16</v>
      </c>
      <c r="Q10" s="235">
        <f t="shared" ref="Q10:AD10" si="0">P10+1</f>
        <v>17</v>
      </c>
      <c r="R10" s="235">
        <f t="shared" si="0"/>
        <v>18</v>
      </c>
      <c r="S10" s="235">
        <f t="shared" si="0"/>
        <v>19</v>
      </c>
      <c r="T10" s="235">
        <f t="shared" si="0"/>
        <v>20</v>
      </c>
      <c r="U10" s="235">
        <f t="shared" si="0"/>
        <v>21</v>
      </c>
      <c r="V10" s="235">
        <f t="shared" si="0"/>
        <v>22</v>
      </c>
      <c r="W10" s="235">
        <f t="shared" si="0"/>
        <v>23</v>
      </c>
      <c r="X10" s="235">
        <f t="shared" si="0"/>
        <v>24</v>
      </c>
      <c r="Y10" s="235">
        <f t="shared" si="0"/>
        <v>25</v>
      </c>
      <c r="Z10" s="235">
        <f t="shared" si="0"/>
        <v>26</v>
      </c>
      <c r="AA10" s="235">
        <f t="shared" si="0"/>
        <v>27</v>
      </c>
      <c r="AB10" s="235">
        <f t="shared" si="0"/>
        <v>28</v>
      </c>
      <c r="AC10" s="235">
        <f t="shared" si="0"/>
        <v>29</v>
      </c>
      <c r="AD10" s="235">
        <f t="shared" si="0"/>
        <v>30</v>
      </c>
      <c r="AE10" s="235">
        <f>AD10+1</f>
        <v>31</v>
      </c>
    </row>
    <row r="11" spans="1:31" ht="25.5" x14ac:dyDescent="0.35">
      <c r="A11" s="305" t="s">
        <v>72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</row>
    <row r="12" spans="1:31" ht="78.75" x14ac:dyDescent="0.25">
      <c r="A12" s="23" t="s">
        <v>48</v>
      </c>
      <c r="B12" s="17" t="s">
        <v>49</v>
      </c>
      <c r="C12" s="17" t="s">
        <v>37</v>
      </c>
      <c r="D12" s="18" t="s">
        <v>38</v>
      </c>
      <c r="E12" s="19">
        <v>1</v>
      </c>
      <c r="F12" s="20">
        <f t="shared" ref="F12:F13" si="1">SUM(G12,M12,Q12,R12,S12,T12,V12,W12,X12,AD12,P12,U12)</f>
        <v>4038.8500000000004</v>
      </c>
      <c r="G12" s="20">
        <f t="shared" ref="G12:G13" si="2">SUM(H12:L12)</f>
        <v>2121.09</v>
      </c>
      <c r="H12" s="20">
        <v>1629.1</v>
      </c>
      <c r="I12" s="25">
        <v>0</v>
      </c>
      <c r="J12" s="20">
        <v>0</v>
      </c>
      <c r="K12" s="20">
        <f t="shared" ref="K12:K13" si="3">ROUND(H12*0.302,2)</f>
        <v>491.99</v>
      </c>
      <c r="L12" s="20"/>
      <c r="M12" s="25">
        <v>380.94</v>
      </c>
      <c r="N12" s="25">
        <v>0</v>
      </c>
      <c r="O12" s="25">
        <v>0</v>
      </c>
      <c r="P12" s="25">
        <v>0</v>
      </c>
      <c r="Q12" s="25">
        <v>138.27000000000001</v>
      </c>
      <c r="R12" s="20">
        <v>35.21</v>
      </c>
      <c r="S12" s="25">
        <f>245.82-83.63</f>
        <v>162.19</v>
      </c>
      <c r="T12" s="20">
        <v>0</v>
      </c>
      <c r="U12" s="20">
        <v>0</v>
      </c>
      <c r="V12" s="25">
        <v>4.3600000000000003</v>
      </c>
      <c r="W12" s="20">
        <v>0</v>
      </c>
      <c r="X12" s="20">
        <f t="shared" ref="X12:X13" si="4">SUM(Y12:AC12)</f>
        <v>948.08999999999992</v>
      </c>
      <c r="Y12" s="27">
        <v>728.18</v>
      </c>
      <c r="Z12" s="25">
        <v>0</v>
      </c>
      <c r="AA12" s="20">
        <v>0</v>
      </c>
      <c r="AB12" s="20">
        <f t="shared" ref="AB12:AB13" si="5">ROUND(Y12*0.302,2)</f>
        <v>219.91</v>
      </c>
      <c r="AC12" s="25">
        <v>0</v>
      </c>
      <c r="AD12" s="25">
        <f>237.38+11.32</f>
        <v>248.7</v>
      </c>
      <c r="AE12" s="20">
        <v>367.8</v>
      </c>
    </row>
    <row r="13" spans="1:31" ht="63" x14ac:dyDescent="0.25">
      <c r="A13" s="23" t="s">
        <v>48</v>
      </c>
      <c r="B13" s="17" t="s">
        <v>50</v>
      </c>
      <c r="C13" s="17" t="s">
        <v>40</v>
      </c>
      <c r="D13" s="18" t="s">
        <v>38</v>
      </c>
      <c r="E13" s="19">
        <v>1</v>
      </c>
      <c r="F13" s="20">
        <f t="shared" si="1"/>
        <v>16461.82</v>
      </c>
      <c r="G13" s="20">
        <f t="shared" si="2"/>
        <v>8495.42</v>
      </c>
      <c r="H13" s="20">
        <v>6524.9</v>
      </c>
      <c r="I13" s="20">
        <v>0</v>
      </c>
      <c r="J13" s="20">
        <v>0</v>
      </c>
      <c r="K13" s="20">
        <f t="shared" si="3"/>
        <v>1970.52</v>
      </c>
      <c r="L13" s="20">
        <v>0</v>
      </c>
      <c r="M13" s="20">
        <v>3043.52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f>Y13+Z13+AA13+AB13+AC13</f>
        <v>3797.1899999999996</v>
      </c>
      <c r="Y13" s="20">
        <v>2916.43</v>
      </c>
      <c r="Z13" s="20">
        <v>0</v>
      </c>
      <c r="AA13" s="20">
        <v>0</v>
      </c>
      <c r="AB13" s="20">
        <f t="shared" si="5"/>
        <v>880.76</v>
      </c>
      <c r="AC13" s="20">
        <v>0</v>
      </c>
      <c r="AD13" s="20">
        <v>1125.69</v>
      </c>
      <c r="AE13" s="20"/>
    </row>
    <row r="14" spans="1:31" ht="25.5" x14ac:dyDescent="0.35">
      <c r="A14" s="305" t="s">
        <v>86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</row>
    <row r="15" spans="1:31" ht="78.75" x14ac:dyDescent="0.25">
      <c r="A15" s="23" t="s">
        <v>48</v>
      </c>
      <c r="B15" s="17" t="s">
        <v>49</v>
      </c>
      <c r="C15" s="17" t="s">
        <v>37</v>
      </c>
      <c r="D15" s="18" t="s">
        <v>38</v>
      </c>
      <c r="E15" s="19">
        <v>1</v>
      </c>
      <c r="F15" s="20">
        <f t="shared" ref="F15:F16" si="6">SUM(G15,M15,Q15,R15,S15,T15,V15,W15,X15,AD15,P15,U15)</f>
        <v>4174.9100000000008</v>
      </c>
      <c r="G15" s="20">
        <f t="shared" ref="G15:G16" si="7">SUM(H15:L15)</f>
        <v>2163.7800000000002</v>
      </c>
      <c r="H15" s="20">
        <v>1661.89</v>
      </c>
      <c r="I15" s="25">
        <v>0</v>
      </c>
      <c r="J15" s="20">
        <v>0</v>
      </c>
      <c r="K15" s="20">
        <f t="shared" ref="K15:K16" si="8">ROUND(H15*0.302,2)</f>
        <v>501.89</v>
      </c>
      <c r="L15" s="20"/>
      <c r="M15" s="25">
        <f>407.37-68.92</f>
        <v>338.45</v>
      </c>
      <c r="N15" s="25">
        <v>0</v>
      </c>
      <c r="O15" s="25">
        <v>0</v>
      </c>
      <c r="P15" s="25">
        <v>0</v>
      </c>
      <c r="Q15" s="25">
        <v>138.30000000000001</v>
      </c>
      <c r="R15" s="20">
        <v>34.21</v>
      </c>
      <c r="S15" s="25">
        <v>245.88</v>
      </c>
      <c r="T15" s="20">
        <v>0</v>
      </c>
      <c r="U15" s="20">
        <v>0</v>
      </c>
      <c r="V15" s="25">
        <v>4.3600000000000003</v>
      </c>
      <c r="W15" s="20">
        <v>0</v>
      </c>
      <c r="X15" s="20">
        <f t="shared" ref="X15" si="9">SUM(Y15:AC15)</f>
        <v>986</v>
      </c>
      <c r="Y15" s="27">
        <v>757.3</v>
      </c>
      <c r="Z15" s="25">
        <v>0</v>
      </c>
      <c r="AA15" s="20">
        <v>0</v>
      </c>
      <c r="AB15" s="20">
        <f t="shared" ref="AB15:AB16" si="10">ROUND(Y15*0.302,2)</f>
        <v>228.7</v>
      </c>
      <c r="AC15" s="25">
        <v>0</v>
      </c>
      <c r="AD15" s="25">
        <f>252.49+11.44</f>
        <v>263.93</v>
      </c>
      <c r="AE15" s="25">
        <v>367.8</v>
      </c>
    </row>
    <row r="16" spans="1:31" ht="63" x14ac:dyDescent="0.25">
      <c r="A16" s="23" t="s">
        <v>48</v>
      </c>
      <c r="B16" s="17" t="s">
        <v>50</v>
      </c>
      <c r="C16" s="17" t="s">
        <v>40</v>
      </c>
      <c r="D16" s="18" t="s">
        <v>38</v>
      </c>
      <c r="E16" s="19">
        <v>1</v>
      </c>
      <c r="F16" s="20">
        <f t="shared" si="6"/>
        <v>16951.27</v>
      </c>
      <c r="G16" s="20">
        <f t="shared" si="7"/>
        <v>8666.2000000000007</v>
      </c>
      <c r="H16" s="20">
        <v>6656.07</v>
      </c>
      <c r="I16" s="20">
        <v>0</v>
      </c>
      <c r="J16" s="20">
        <v>0</v>
      </c>
      <c r="K16" s="20">
        <f t="shared" si="8"/>
        <v>2010.13</v>
      </c>
      <c r="L16" s="20">
        <v>0</v>
      </c>
      <c r="M16" s="20">
        <v>3165.27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f>Y16+Z16+AA16+AB16+AC16</f>
        <v>3949.08</v>
      </c>
      <c r="Y16" s="20">
        <v>3033.09</v>
      </c>
      <c r="Z16" s="20">
        <v>0</v>
      </c>
      <c r="AA16" s="20">
        <v>0</v>
      </c>
      <c r="AB16" s="20">
        <f t="shared" si="10"/>
        <v>915.99</v>
      </c>
      <c r="AC16" s="20">
        <v>0</v>
      </c>
      <c r="AD16" s="20">
        <v>1170.72</v>
      </c>
      <c r="AE16" s="25">
        <v>0</v>
      </c>
    </row>
    <row r="17" spans="1:31" ht="25.5" x14ac:dyDescent="0.35">
      <c r="A17" s="305" t="s">
        <v>154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</row>
    <row r="18" spans="1:31" ht="78.75" x14ac:dyDescent="0.25">
      <c r="A18" s="236" t="s">
        <v>48</v>
      </c>
      <c r="B18" s="17" t="s">
        <v>49</v>
      </c>
      <c r="C18" s="235" t="s">
        <v>37</v>
      </c>
      <c r="D18" s="232" t="s">
        <v>38</v>
      </c>
      <c r="E18" s="19">
        <v>1</v>
      </c>
      <c r="F18" s="20">
        <f t="shared" ref="F18:F19" si="11">SUM(G18,M18,Q18,R18,S18,T18,V18,W18,X18,AD18,P18,U18)</f>
        <v>4174.8300000000008</v>
      </c>
      <c r="G18" s="20">
        <f t="shared" ref="G18:G19" si="12">SUM(H18:L18)</f>
        <v>2179.86</v>
      </c>
      <c r="H18" s="20">
        <v>1674.24</v>
      </c>
      <c r="I18" s="25">
        <v>0</v>
      </c>
      <c r="J18" s="20">
        <v>0</v>
      </c>
      <c r="K18" s="20">
        <f t="shared" ref="K18:K19" si="13">ROUND(H18*0.302,2)</f>
        <v>505.62</v>
      </c>
      <c r="L18" s="20"/>
      <c r="M18" s="25">
        <f>407.37-85.08</f>
        <v>322.29000000000002</v>
      </c>
      <c r="N18" s="25">
        <v>0</v>
      </c>
      <c r="O18" s="25">
        <v>0</v>
      </c>
      <c r="P18" s="25">
        <v>0</v>
      </c>
      <c r="Q18" s="25">
        <v>138.30000000000001</v>
      </c>
      <c r="R18" s="20">
        <v>34.21</v>
      </c>
      <c r="S18" s="25">
        <v>245.88</v>
      </c>
      <c r="T18" s="20">
        <v>0</v>
      </c>
      <c r="U18" s="20">
        <v>0</v>
      </c>
      <c r="V18" s="25">
        <v>4.3600000000000003</v>
      </c>
      <c r="W18" s="20">
        <v>0</v>
      </c>
      <c r="X18" s="20">
        <f t="shared" ref="X18" si="14">SUM(Y18:AC18)</f>
        <v>986</v>
      </c>
      <c r="Y18" s="27">
        <v>757.3</v>
      </c>
      <c r="Z18" s="25">
        <v>0</v>
      </c>
      <c r="AA18" s="20">
        <v>0</v>
      </c>
      <c r="AB18" s="20">
        <f t="shared" ref="AB18:AB19" si="15">ROUND(Y18*0.302,2)</f>
        <v>228.7</v>
      </c>
      <c r="AC18" s="25">
        <v>0</v>
      </c>
      <c r="AD18" s="25">
        <f>252.49+11.44</f>
        <v>263.93</v>
      </c>
      <c r="AE18" s="25">
        <v>367.8</v>
      </c>
    </row>
    <row r="19" spans="1:31" ht="63" x14ac:dyDescent="0.25">
      <c r="A19" s="236" t="s">
        <v>48</v>
      </c>
      <c r="B19" s="17" t="s">
        <v>50</v>
      </c>
      <c r="C19" s="235" t="s">
        <v>40</v>
      </c>
      <c r="D19" s="232" t="s">
        <v>38</v>
      </c>
      <c r="E19" s="19">
        <v>1</v>
      </c>
      <c r="F19" s="20">
        <f t="shared" si="11"/>
        <v>17015.64</v>
      </c>
      <c r="G19" s="20">
        <f t="shared" si="12"/>
        <v>8730.57</v>
      </c>
      <c r="H19" s="20">
        <v>6705.51</v>
      </c>
      <c r="I19" s="20">
        <v>0</v>
      </c>
      <c r="J19" s="20">
        <v>0</v>
      </c>
      <c r="K19" s="20">
        <f t="shared" si="13"/>
        <v>2025.06</v>
      </c>
      <c r="L19" s="20">
        <v>0</v>
      </c>
      <c r="M19" s="20">
        <v>3165.27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f>Y19+Z19+AA19+AB19+AC19</f>
        <v>3949.08</v>
      </c>
      <c r="Y19" s="20">
        <v>3033.09</v>
      </c>
      <c r="Z19" s="20">
        <v>0</v>
      </c>
      <c r="AA19" s="20">
        <v>0</v>
      </c>
      <c r="AB19" s="20">
        <f t="shared" si="15"/>
        <v>915.99</v>
      </c>
      <c r="AC19" s="20">
        <v>0</v>
      </c>
      <c r="AD19" s="20">
        <v>1170.72</v>
      </c>
      <c r="AE19" s="25">
        <v>0</v>
      </c>
    </row>
    <row r="21" spans="1:31" ht="57.75" customHeight="1" x14ac:dyDescent="0.25">
      <c r="A21" s="304" t="s">
        <v>166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</row>
    <row r="23" spans="1:31" ht="15.75" customHeight="1" x14ac:dyDescent="0.25">
      <c r="A23" s="238" t="s">
        <v>0</v>
      </c>
      <c r="B23" s="242" t="s">
        <v>1</v>
      </c>
      <c r="C23" s="303" t="s">
        <v>2</v>
      </c>
      <c r="D23" s="303"/>
      <c r="E23" s="303"/>
      <c r="F23" s="242" t="s">
        <v>3</v>
      </c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</row>
    <row r="24" spans="1:31" ht="15.75" x14ac:dyDescent="0.25">
      <c r="A24" s="238"/>
      <c r="B24" s="242"/>
      <c r="C24" s="249" t="s">
        <v>7</v>
      </c>
      <c r="D24" s="249" t="s">
        <v>8</v>
      </c>
      <c r="E24" s="303" t="s">
        <v>144</v>
      </c>
      <c r="F24" s="246" t="s">
        <v>10</v>
      </c>
      <c r="G24" s="250" t="s">
        <v>11</v>
      </c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42"/>
    </row>
    <row r="25" spans="1:31" ht="15.75" x14ac:dyDescent="0.25">
      <c r="A25" s="238"/>
      <c r="B25" s="242"/>
      <c r="C25" s="249"/>
      <c r="D25" s="249"/>
      <c r="E25" s="303"/>
      <c r="F25" s="246"/>
      <c r="G25" s="242" t="s">
        <v>12</v>
      </c>
      <c r="H25" s="242"/>
      <c r="I25" s="242"/>
      <c r="J25" s="242"/>
      <c r="K25" s="242"/>
      <c r="L25" s="242"/>
      <c r="M25" s="242" t="s">
        <v>13</v>
      </c>
      <c r="N25" s="242"/>
      <c r="O25" s="242"/>
      <c r="P25" s="242" t="s">
        <v>14</v>
      </c>
      <c r="Q25" s="242" t="s">
        <v>15</v>
      </c>
      <c r="R25" s="242" t="s">
        <v>16</v>
      </c>
      <c r="S25" s="242" t="s">
        <v>17</v>
      </c>
      <c r="T25" s="242" t="s">
        <v>18</v>
      </c>
      <c r="U25" s="242" t="s">
        <v>19</v>
      </c>
      <c r="V25" s="242" t="s">
        <v>20</v>
      </c>
      <c r="W25" s="242" t="s">
        <v>21</v>
      </c>
      <c r="X25" s="242" t="s">
        <v>22</v>
      </c>
      <c r="Y25" s="242"/>
      <c r="Z25" s="242"/>
      <c r="AA25" s="242"/>
      <c r="AB25" s="242"/>
      <c r="AC25" s="242"/>
      <c r="AD25" s="242" t="s">
        <v>23</v>
      </c>
      <c r="AE25" s="242"/>
    </row>
    <row r="26" spans="1:31" ht="15.75" x14ac:dyDescent="0.25">
      <c r="A26" s="238"/>
      <c r="B26" s="242"/>
      <c r="C26" s="249"/>
      <c r="D26" s="249"/>
      <c r="E26" s="303"/>
      <c r="F26" s="246"/>
      <c r="G26" s="246" t="s">
        <v>24</v>
      </c>
      <c r="H26" s="242" t="s">
        <v>11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6" t="s">
        <v>25</v>
      </c>
      <c r="Y26" s="242" t="s">
        <v>11</v>
      </c>
      <c r="Z26" s="242"/>
      <c r="AA26" s="242"/>
      <c r="AB26" s="242"/>
      <c r="AC26" s="242"/>
      <c r="AD26" s="242"/>
      <c r="AE26" s="242"/>
    </row>
    <row r="27" spans="1:31" ht="66" customHeight="1" x14ac:dyDescent="0.25">
      <c r="A27" s="238"/>
      <c r="B27" s="242"/>
      <c r="C27" s="249"/>
      <c r="D27" s="249"/>
      <c r="E27" s="303"/>
      <c r="F27" s="246"/>
      <c r="G27" s="246"/>
      <c r="H27" s="242" t="s">
        <v>26</v>
      </c>
      <c r="I27" s="242" t="s">
        <v>27</v>
      </c>
      <c r="J27" s="242" t="s">
        <v>28</v>
      </c>
      <c r="K27" s="242" t="s">
        <v>29</v>
      </c>
      <c r="L27" s="242" t="s">
        <v>30</v>
      </c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6"/>
      <c r="Y27" s="242" t="s">
        <v>26</v>
      </c>
      <c r="Z27" s="242" t="s">
        <v>27</v>
      </c>
      <c r="AA27" s="242" t="s">
        <v>28</v>
      </c>
      <c r="AB27" s="242" t="s">
        <v>29</v>
      </c>
      <c r="AC27" s="242" t="s">
        <v>30</v>
      </c>
      <c r="AD27" s="242"/>
      <c r="AE27" s="242"/>
    </row>
    <row r="28" spans="1:31" ht="15.75" x14ac:dyDescent="0.25">
      <c r="A28" s="238"/>
      <c r="B28" s="242"/>
      <c r="C28" s="249"/>
      <c r="D28" s="249"/>
      <c r="E28" s="303"/>
      <c r="F28" s="246"/>
      <c r="G28" s="246"/>
      <c r="H28" s="242"/>
      <c r="I28" s="242"/>
      <c r="J28" s="242"/>
      <c r="K28" s="242"/>
      <c r="L28" s="242"/>
      <c r="M28" s="246" t="s">
        <v>31</v>
      </c>
      <c r="N28" s="242" t="s">
        <v>32</v>
      </c>
      <c r="O28" s="242"/>
      <c r="P28" s="242"/>
      <c r="Q28" s="242"/>
      <c r="R28" s="242"/>
      <c r="S28" s="242"/>
      <c r="T28" s="242"/>
      <c r="U28" s="242"/>
      <c r="V28" s="242"/>
      <c r="W28" s="242"/>
      <c r="X28" s="246"/>
      <c r="Y28" s="242"/>
      <c r="Z28" s="242"/>
      <c r="AA28" s="242"/>
      <c r="AB28" s="242"/>
      <c r="AC28" s="242"/>
      <c r="AD28" s="242"/>
      <c r="AE28" s="242"/>
    </row>
    <row r="29" spans="1:31" ht="103.5" customHeight="1" x14ac:dyDescent="0.25">
      <c r="A29" s="238"/>
      <c r="B29" s="242"/>
      <c r="C29" s="249"/>
      <c r="D29" s="249"/>
      <c r="E29" s="303"/>
      <c r="F29" s="246"/>
      <c r="G29" s="246"/>
      <c r="H29" s="242"/>
      <c r="I29" s="242"/>
      <c r="J29" s="242"/>
      <c r="K29" s="242"/>
      <c r="L29" s="242"/>
      <c r="M29" s="246"/>
      <c r="N29" s="229" t="s">
        <v>33</v>
      </c>
      <c r="O29" s="229" t="s">
        <v>34</v>
      </c>
      <c r="P29" s="242"/>
      <c r="Q29" s="242"/>
      <c r="R29" s="242"/>
      <c r="S29" s="242"/>
      <c r="T29" s="242"/>
      <c r="U29" s="242"/>
      <c r="V29" s="242"/>
      <c r="W29" s="242"/>
      <c r="X29" s="246"/>
      <c r="Y29" s="242"/>
      <c r="Z29" s="242"/>
      <c r="AA29" s="242"/>
      <c r="AB29" s="242"/>
      <c r="AC29" s="242"/>
      <c r="AD29" s="242"/>
      <c r="AE29" s="242"/>
    </row>
    <row r="30" spans="1:31" ht="15.75" x14ac:dyDescent="0.25">
      <c r="A30" s="230">
        <v>1</v>
      </c>
      <c r="B30" s="235">
        <v>2</v>
      </c>
      <c r="C30" s="232">
        <v>3</v>
      </c>
      <c r="D30" s="235">
        <v>4</v>
      </c>
      <c r="E30" s="232">
        <v>5</v>
      </c>
      <c r="F30" s="235">
        <v>6</v>
      </c>
      <c r="G30" s="232">
        <v>7</v>
      </c>
      <c r="H30" s="235">
        <v>8</v>
      </c>
      <c r="I30" s="232">
        <v>9</v>
      </c>
      <c r="J30" s="235">
        <v>10</v>
      </c>
      <c r="K30" s="232">
        <v>11</v>
      </c>
      <c r="L30" s="235">
        <v>12</v>
      </c>
      <c r="M30" s="232">
        <v>13</v>
      </c>
      <c r="N30" s="235">
        <v>14</v>
      </c>
      <c r="O30" s="232">
        <v>15</v>
      </c>
      <c r="P30" s="235">
        <v>16</v>
      </c>
      <c r="Q30" s="232">
        <v>17</v>
      </c>
      <c r="R30" s="235">
        <v>18</v>
      </c>
      <c r="S30" s="232">
        <v>19</v>
      </c>
      <c r="T30" s="235">
        <v>20</v>
      </c>
      <c r="U30" s="232">
        <v>21</v>
      </c>
      <c r="V30" s="235">
        <v>22</v>
      </c>
      <c r="W30" s="232">
        <v>23</v>
      </c>
      <c r="X30" s="235">
        <v>24</v>
      </c>
      <c r="Y30" s="232">
        <v>25</v>
      </c>
      <c r="Z30" s="235">
        <v>26</v>
      </c>
      <c r="AA30" s="232">
        <v>27</v>
      </c>
      <c r="AB30" s="235">
        <v>28</v>
      </c>
      <c r="AC30" s="232">
        <v>29</v>
      </c>
      <c r="AD30" s="235">
        <v>30</v>
      </c>
      <c r="AE30" s="235"/>
    </row>
    <row r="31" spans="1:31" ht="25.5" x14ac:dyDescent="0.35">
      <c r="A31" s="305" t="s">
        <v>72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</row>
    <row r="32" spans="1:31" ht="47.25" x14ac:dyDescent="0.25">
      <c r="A32" s="115" t="s">
        <v>149</v>
      </c>
      <c r="B32" s="17" t="s">
        <v>142</v>
      </c>
      <c r="C32" s="17" t="s">
        <v>143</v>
      </c>
      <c r="D32" s="18" t="s">
        <v>38</v>
      </c>
      <c r="E32" s="19">
        <v>1</v>
      </c>
      <c r="F32" s="20">
        <f t="shared" ref="F32" si="16">SUM(G32,M32,Q32,R32,S32,T32,V32,W32,X32,AD32,P32,U32)</f>
        <v>2926132.9600000009</v>
      </c>
      <c r="G32" s="20">
        <f t="shared" ref="G32" si="17">SUM(H32:L32)</f>
        <v>1460485.1300000004</v>
      </c>
      <c r="H32" s="22">
        <v>1121724.3700000003</v>
      </c>
      <c r="I32" s="20">
        <v>0</v>
      </c>
      <c r="J32" s="20">
        <v>0</v>
      </c>
      <c r="K32" s="20">
        <f t="shared" ref="K32" si="18">ROUND(H32*0.302,2)</f>
        <v>338760.76</v>
      </c>
      <c r="L32" s="20">
        <v>0</v>
      </c>
      <c r="M32" s="20">
        <v>712405.5</v>
      </c>
      <c r="N32" s="20">
        <v>0</v>
      </c>
      <c r="O32" s="20">
        <v>400.8</v>
      </c>
      <c r="P32" s="20">
        <v>0</v>
      </c>
      <c r="Q32" s="20">
        <v>6613.6</v>
      </c>
      <c r="R32" s="20">
        <v>1655.58</v>
      </c>
      <c r="S32" s="20">
        <v>0</v>
      </c>
      <c r="T32" s="20">
        <v>1502.9</v>
      </c>
      <c r="U32" s="20">
        <v>0</v>
      </c>
      <c r="V32" s="20">
        <v>0</v>
      </c>
      <c r="W32" s="20">
        <v>0</v>
      </c>
      <c r="X32" s="25">
        <f>Y32+Z32+AA32+AB32+AC32</f>
        <v>648005.01</v>
      </c>
      <c r="Y32" s="20">
        <v>497699.7</v>
      </c>
      <c r="Z32" s="25">
        <v>0</v>
      </c>
      <c r="AA32" s="25">
        <v>0</v>
      </c>
      <c r="AB32" s="20">
        <f t="shared" ref="AB32" si="19">ROUND(Y32*0.302,2)</f>
        <v>150305.31</v>
      </c>
      <c r="AC32" s="20">
        <v>0</v>
      </c>
      <c r="AD32" s="20">
        <f>95465.24</f>
        <v>95465.24</v>
      </c>
      <c r="AE32" s="20"/>
    </row>
    <row r="33" spans="1:31" ht="25.5" x14ac:dyDescent="0.35">
      <c r="A33" s="305" t="s">
        <v>86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</row>
    <row r="34" spans="1:31" ht="47.25" x14ac:dyDescent="0.25">
      <c r="A34" s="115" t="s">
        <v>149</v>
      </c>
      <c r="B34" s="17" t="s">
        <v>142</v>
      </c>
      <c r="C34" s="17" t="s">
        <v>143</v>
      </c>
      <c r="D34" s="18" t="s">
        <v>38</v>
      </c>
      <c r="E34" s="19">
        <v>1</v>
      </c>
      <c r="F34" s="20">
        <v>2909327</v>
      </c>
      <c r="G34" s="20">
        <v>1445335.75</v>
      </c>
      <c r="H34" s="22">
        <v>1110088.8999999999</v>
      </c>
      <c r="I34" s="20">
        <v>0</v>
      </c>
      <c r="J34" s="20">
        <v>0</v>
      </c>
      <c r="K34" s="20">
        <v>335246.84999999998</v>
      </c>
      <c r="L34" s="20">
        <v>0</v>
      </c>
      <c r="M34" s="20">
        <v>712405.5</v>
      </c>
      <c r="N34" s="20">
        <v>0</v>
      </c>
      <c r="O34" s="20">
        <v>400.8</v>
      </c>
      <c r="P34" s="20">
        <v>0</v>
      </c>
      <c r="Q34" s="20">
        <v>6613.6</v>
      </c>
      <c r="R34" s="20">
        <v>0</v>
      </c>
      <c r="S34" s="20">
        <v>0</v>
      </c>
      <c r="T34" s="20">
        <v>1502.9</v>
      </c>
      <c r="U34" s="20">
        <v>0</v>
      </c>
      <c r="V34" s="20">
        <v>0</v>
      </c>
      <c r="W34" s="20">
        <v>0</v>
      </c>
      <c r="X34" s="25">
        <v>648005.01</v>
      </c>
      <c r="Y34" s="20">
        <v>497699.7</v>
      </c>
      <c r="Z34" s="20">
        <v>0</v>
      </c>
      <c r="AA34" s="20">
        <v>0</v>
      </c>
      <c r="AB34" s="20">
        <v>150305.31</v>
      </c>
      <c r="AC34" s="20">
        <v>0</v>
      </c>
      <c r="AD34" s="20">
        <v>95464.239999999991</v>
      </c>
    </row>
  </sheetData>
  <mergeCells count="83">
    <mergeCell ref="A33:AE33"/>
    <mergeCell ref="A1:AE1"/>
    <mergeCell ref="A11:AE11"/>
    <mergeCell ref="A3:A9"/>
    <mergeCell ref="B3:B9"/>
    <mergeCell ref="C3:D3"/>
    <mergeCell ref="F3:AD3"/>
    <mergeCell ref="AE3:AE9"/>
    <mergeCell ref="C4:C9"/>
    <mergeCell ref="V5:V9"/>
    <mergeCell ref="W5:W9"/>
    <mergeCell ref="X5:AC5"/>
    <mergeCell ref="AD5:AD9"/>
    <mergeCell ref="Z7:Z9"/>
    <mergeCell ref="AA7:AA9"/>
    <mergeCell ref="AB7:AB9"/>
    <mergeCell ref="AC7:AC9"/>
    <mergeCell ref="D4:D9"/>
    <mergeCell ref="E4:E9"/>
    <mergeCell ref="F4:F9"/>
    <mergeCell ref="G4:AD4"/>
    <mergeCell ref="G5:L5"/>
    <mergeCell ref="M5:O7"/>
    <mergeCell ref="P5:P9"/>
    <mergeCell ref="Q5:Q9"/>
    <mergeCell ref="S5:S9"/>
    <mergeCell ref="D24:D29"/>
    <mergeCell ref="M8:M9"/>
    <mergeCell ref="N8:O8"/>
    <mergeCell ref="A14:AE14"/>
    <mergeCell ref="A17:AE17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R5:R9"/>
    <mergeCell ref="A31:AE31"/>
    <mergeCell ref="T5:T9"/>
    <mergeCell ref="U5:U9"/>
    <mergeCell ref="X26:X29"/>
    <mergeCell ref="Y26:AC26"/>
    <mergeCell ref="H27:H29"/>
    <mergeCell ref="E24:E29"/>
    <mergeCell ref="F24:F29"/>
    <mergeCell ref="G24:AD24"/>
    <mergeCell ref="G25:L25"/>
    <mergeCell ref="M25:O27"/>
    <mergeCell ref="P25:P29"/>
    <mergeCell ref="Q25:Q29"/>
    <mergeCell ref="R25:R29"/>
    <mergeCell ref="S25:S29"/>
    <mergeCell ref="T25:T29"/>
    <mergeCell ref="A21:AE21"/>
    <mergeCell ref="A23:A29"/>
    <mergeCell ref="B23:B29"/>
    <mergeCell ref="C23:E23"/>
    <mergeCell ref="F23:AD23"/>
    <mergeCell ref="AE23:AE29"/>
    <mergeCell ref="C24:C29"/>
    <mergeCell ref="AA27:AA29"/>
    <mergeCell ref="AB27:AB29"/>
    <mergeCell ref="AC27:AC29"/>
    <mergeCell ref="M28:M29"/>
    <mergeCell ref="N28:O28"/>
    <mergeCell ref="I27:I29"/>
    <mergeCell ref="J27:J29"/>
    <mergeCell ref="K27:K29"/>
    <mergeCell ref="L27:L29"/>
    <mergeCell ref="AD25:AD29"/>
    <mergeCell ref="G26:G29"/>
    <mergeCell ref="H26:L26"/>
    <mergeCell ref="Y27:Y29"/>
    <mergeCell ref="Z27:Z29"/>
    <mergeCell ref="U25:U29"/>
    <mergeCell ref="V25:V29"/>
    <mergeCell ref="W25:W29"/>
    <mergeCell ref="X25:AC25"/>
  </mergeCells>
  <pageMargins left="0.25" right="0.25" top="0.75" bottom="0.75" header="0.3" footer="0.3"/>
  <pageSetup paperSize="9" scale="23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"/>
  <sheetViews>
    <sheetView view="pageBreakPreview" zoomScale="60" zoomScaleNormal="55" workbookViewId="0">
      <selection activeCell="F32" sqref="A1:XFD1048576"/>
    </sheetView>
  </sheetViews>
  <sheetFormatPr defaultRowHeight="15" x14ac:dyDescent="0.25"/>
  <cols>
    <col min="1" max="1" width="27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3.2851562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8.42578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04" t="s">
        <v>167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</row>
    <row r="3" spans="1:31" ht="15.75" customHeight="1" x14ac:dyDescent="0.25">
      <c r="A3" s="247" t="s">
        <v>0</v>
      </c>
      <c r="B3" s="243" t="s">
        <v>1</v>
      </c>
      <c r="C3" s="248" t="s">
        <v>2</v>
      </c>
      <c r="D3" s="248"/>
      <c r="E3" s="231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5</v>
      </c>
    </row>
    <row r="4" spans="1:31" ht="15.75" customHeight="1" x14ac:dyDescent="0.25">
      <c r="A4" s="238"/>
      <c r="B4" s="242"/>
      <c r="C4" s="249" t="s">
        <v>7</v>
      </c>
      <c r="D4" s="249" t="s">
        <v>8</v>
      </c>
      <c r="E4" s="303" t="s">
        <v>144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</row>
    <row r="5" spans="1:31" ht="15.75" x14ac:dyDescent="0.25">
      <c r="A5" s="238"/>
      <c r="B5" s="242"/>
      <c r="C5" s="249"/>
      <c r="D5" s="249"/>
      <c r="E5" s="303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</row>
    <row r="6" spans="1:31" ht="15.75" x14ac:dyDescent="0.25">
      <c r="A6" s="238"/>
      <c r="B6" s="242"/>
      <c r="C6" s="249"/>
      <c r="D6" s="249"/>
      <c r="E6" s="303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</row>
    <row r="7" spans="1:31" ht="70.5" customHeight="1" x14ac:dyDescent="0.25">
      <c r="A7" s="238"/>
      <c r="B7" s="242"/>
      <c r="C7" s="249"/>
      <c r="D7" s="249"/>
      <c r="E7" s="303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</row>
    <row r="8" spans="1:31" ht="15.75" x14ac:dyDescent="0.25">
      <c r="A8" s="238"/>
      <c r="B8" s="242"/>
      <c r="C8" s="249"/>
      <c r="D8" s="249"/>
      <c r="E8" s="303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</row>
    <row r="9" spans="1:31" ht="127.5" customHeight="1" x14ac:dyDescent="0.25">
      <c r="A9" s="238"/>
      <c r="B9" s="242"/>
      <c r="C9" s="249"/>
      <c r="D9" s="249"/>
      <c r="E9" s="303"/>
      <c r="F9" s="246"/>
      <c r="G9" s="246"/>
      <c r="H9" s="242"/>
      <c r="I9" s="242"/>
      <c r="J9" s="242"/>
      <c r="K9" s="242"/>
      <c r="L9" s="242"/>
      <c r="M9" s="246"/>
      <c r="N9" s="229" t="s">
        <v>33</v>
      </c>
      <c r="O9" s="229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</row>
    <row r="10" spans="1:31" ht="15.75" x14ac:dyDescent="0.25">
      <c r="A10" s="230">
        <v>1</v>
      </c>
      <c r="B10" s="235">
        <v>2</v>
      </c>
      <c r="C10" s="232">
        <v>3</v>
      </c>
      <c r="D10" s="235">
        <v>4</v>
      </c>
      <c r="E10" s="232"/>
      <c r="F10" s="235">
        <v>6</v>
      </c>
      <c r="G10" s="232">
        <v>7</v>
      </c>
      <c r="H10" s="235">
        <v>8</v>
      </c>
      <c r="I10" s="232">
        <v>9</v>
      </c>
      <c r="J10" s="235">
        <v>10</v>
      </c>
      <c r="K10" s="232">
        <v>11</v>
      </c>
      <c r="L10" s="235">
        <v>12</v>
      </c>
      <c r="M10" s="232">
        <v>13</v>
      </c>
      <c r="N10" s="229">
        <v>14</v>
      </c>
      <c r="O10" s="235">
        <v>15</v>
      </c>
      <c r="P10" s="235">
        <f>O10+1</f>
        <v>16</v>
      </c>
      <c r="Q10" s="235">
        <f t="shared" ref="Q10:AD10" si="0">P10+1</f>
        <v>17</v>
      </c>
      <c r="R10" s="235">
        <f t="shared" si="0"/>
        <v>18</v>
      </c>
      <c r="S10" s="235">
        <f t="shared" si="0"/>
        <v>19</v>
      </c>
      <c r="T10" s="235">
        <f t="shared" si="0"/>
        <v>20</v>
      </c>
      <c r="U10" s="235">
        <f t="shared" si="0"/>
        <v>21</v>
      </c>
      <c r="V10" s="235">
        <f t="shared" si="0"/>
        <v>22</v>
      </c>
      <c r="W10" s="235">
        <f t="shared" si="0"/>
        <v>23</v>
      </c>
      <c r="X10" s="235">
        <f t="shared" si="0"/>
        <v>24</v>
      </c>
      <c r="Y10" s="235">
        <f t="shared" si="0"/>
        <v>25</v>
      </c>
      <c r="Z10" s="235">
        <f t="shared" si="0"/>
        <v>26</v>
      </c>
      <c r="AA10" s="235">
        <f t="shared" si="0"/>
        <v>27</v>
      </c>
      <c r="AB10" s="235">
        <f t="shared" si="0"/>
        <v>28</v>
      </c>
      <c r="AC10" s="235">
        <f t="shared" si="0"/>
        <v>29</v>
      </c>
      <c r="AD10" s="235">
        <f t="shared" si="0"/>
        <v>30</v>
      </c>
      <c r="AE10" s="235">
        <f>AD10+1</f>
        <v>31</v>
      </c>
    </row>
    <row r="11" spans="1:31" ht="25.5" x14ac:dyDescent="0.35">
      <c r="A11" s="305" t="s">
        <v>72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</row>
    <row r="12" spans="1:31" ht="78.75" x14ac:dyDescent="0.25">
      <c r="A12" s="23" t="s">
        <v>51</v>
      </c>
      <c r="B12" s="17" t="s">
        <v>49</v>
      </c>
      <c r="C12" s="17" t="s">
        <v>37</v>
      </c>
      <c r="D12" s="29" t="s">
        <v>45</v>
      </c>
      <c r="E12" s="19">
        <v>1</v>
      </c>
      <c r="F12" s="20">
        <f t="shared" ref="F12:F13" si="1">SUM(G12,M12,Q12,R12,S12,T12,V12,W12,X12,AD12,P12,U12)</f>
        <v>3299.125</v>
      </c>
      <c r="G12" s="20">
        <f t="shared" ref="G12:G13" si="2">SUM(H12:L12)</f>
        <v>2011.7199999999998</v>
      </c>
      <c r="H12" s="20">
        <v>1545.1</v>
      </c>
      <c r="I12" s="25">
        <v>0</v>
      </c>
      <c r="J12" s="20">
        <v>0</v>
      </c>
      <c r="K12" s="20">
        <f t="shared" ref="K12:K13" si="3">ROUND(H12*0.302,2)</f>
        <v>466.62</v>
      </c>
      <c r="L12" s="20"/>
      <c r="M12" s="25">
        <f>296.34-79.48</f>
        <v>216.85999999999996</v>
      </c>
      <c r="N12" s="25">
        <v>22.85</v>
      </c>
      <c r="O12" s="25">
        <v>82.96</v>
      </c>
      <c r="P12" s="25">
        <v>0</v>
      </c>
      <c r="Q12" s="25">
        <v>105.16</v>
      </c>
      <c r="R12" s="20">
        <v>85.34</v>
      </c>
      <c r="S12" s="25">
        <v>112.46</v>
      </c>
      <c r="T12" s="20">
        <v>105.27</v>
      </c>
      <c r="U12" s="20">
        <v>0</v>
      </c>
      <c r="V12" s="25">
        <v>29.9</v>
      </c>
      <c r="W12" s="20">
        <v>0</v>
      </c>
      <c r="X12" s="20">
        <f t="shared" ref="X12:X13" si="4">SUM(Y12:AC12)</f>
        <v>532.80000000000007</v>
      </c>
      <c r="Y12" s="27">
        <v>409.22</v>
      </c>
      <c r="Z12" s="25">
        <v>0</v>
      </c>
      <c r="AA12" s="20">
        <v>0</v>
      </c>
      <c r="AB12" s="20">
        <f t="shared" ref="AB12:AB13" si="5">ROUND(Y12*0.302,2)</f>
        <v>123.58</v>
      </c>
      <c r="AC12" s="25">
        <v>0</v>
      </c>
      <c r="AD12" s="36">
        <f>99.26+0.355</f>
        <v>99.615000000000009</v>
      </c>
      <c r="AE12" s="25">
        <f>174.3+2.7</f>
        <v>177</v>
      </c>
    </row>
    <row r="13" spans="1:31" ht="63" x14ac:dyDescent="0.25">
      <c r="A13" s="23" t="s">
        <v>51</v>
      </c>
      <c r="B13" s="17" t="s">
        <v>50</v>
      </c>
      <c r="C13" s="17" t="s">
        <v>40</v>
      </c>
      <c r="D13" s="29" t="s">
        <v>45</v>
      </c>
      <c r="E13" s="19">
        <v>1</v>
      </c>
      <c r="F13" s="20">
        <f t="shared" si="1"/>
        <v>16000.87</v>
      </c>
      <c r="G13" s="20">
        <f t="shared" si="2"/>
        <v>11047.6</v>
      </c>
      <c r="H13" s="20">
        <v>8485.1</v>
      </c>
      <c r="I13" s="25">
        <v>0</v>
      </c>
      <c r="J13" s="20">
        <v>0</v>
      </c>
      <c r="K13" s="20">
        <f t="shared" si="3"/>
        <v>2562.5</v>
      </c>
      <c r="L13" s="20"/>
      <c r="M13" s="25">
        <v>887.33999999999992</v>
      </c>
      <c r="N13" s="25">
        <v>0</v>
      </c>
      <c r="O13" s="25">
        <v>514.5</v>
      </c>
      <c r="P13" s="25">
        <v>0</v>
      </c>
      <c r="Q13" s="25">
        <v>41.67</v>
      </c>
      <c r="R13" s="20">
        <v>521.41</v>
      </c>
      <c r="S13" s="25">
        <f>547.56+2.56</f>
        <v>550.11999999999989</v>
      </c>
      <c r="T13" s="20">
        <v>764.2</v>
      </c>
      <c r="U13" s="20">
        <v>0</v>
      </c>
      <c r="V13" s="25">
        <v>743.78</v>
      </c>
      <c r="W13" s="20">
        <v>0</v>
      </c>
      <c r="X13" s="20">
        <f t="shared" si="4"/>
        <v>975.25</v>
      </c>
      <c r="Y13" s="27">
        <v>749.04</v>
      </c>
      <c r="Z13" s="25">
        <v>0</v>
      </c>
      <c r="AA13" s="20">
        <v>0</v>
      </c>
      <c r="AB13" s="20">
        <f t="shared" si="5"/>
        <v>226.21</v>
      </c>
      <c r="AC13" s="25">
        <v>0</v>
      </c>
      <c r="AD13" s="25">
        <v>469.5</v>
      </c>
      <c r="AE13" s="25">
        <v>0</v>
      </c>
    </row>
    <row r="14" spans="1:31" ht="25.5" x14ac:dyDescent="0.35">
      <c r="A14" s="305" t="s">
        <v>86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</row>
    <row r="15" spans="1:31" ht="78.75" x14ac:dyDescent="0.25">
      <c r="A15" s="23" t="s">
        <v>51</v>
      </c>
      <c r="B15" s="17" t="s">
        <v>49</v>
      </c>
      <c r="C15" s="17" t="s">
        <v>37</v>
      </c>
      <c r="D15" s="29" t="s">
        <v>45</v>
      </c>
      <c r="E15" s="19">
        <v>1</v>
      </c>
      <c r="F15" s="20">
        <f t="shared" ref="F15:F16" si="6">SUM(G15,M15,Q15,R15,S15,T15,V15,W15,X15,AD15,P15,U15)</f>
        <v>3281.2999999999997</v>
      </c>
      <c r="G15" s="20">
        <f t="shared" ref="G15:G16" si="7">SUM(H15:L15)</f>
        <v>1997.03</v>
      </c>
      <c r="H15" s="20">
        <v>1533.82</v>
      </c>
      <c r="I15" s="25">
        <v>0</v>
      </c>
      <c r="J15" s="20">
        <v>0</v>
      </c>
      <c r="K15" s="20">
        <f t="shared" ref="K15:K16" si="8">ROUND(H15*0.302,2)</f>
        <v>463.21</v>
      </c>
      <c r="L15" s="20"/>
      <c r="M15" s="25">
        <f>296.76-63.62</f>
        <v>233.14</v>
      </c>
      <c r="N15" s="25">
        <v>22.17</v>
      </c>
      <c r="O15" s="25">
        <v>84.67</v>
      </c>
      <c r="P15" s="25">
        <v>0</v>
      </c>
      <c r="Q15" s="25">
        <v>105.17</v>
      </c>
      <c r="R15" s="20">
        <v>82.37</v>
      </c>
      <c r="S15" s="25">
        <v>111.49</v>
      </c>
      <c r="T15" s="20">
        <v>105.37</v>
      </c>
      <c r="U15" s="20">
        <v>0</v>
      </c>
      <c r="V15" s="25">
        <v>29.44</v>
      </c>
      <c r="W15" s="20">
        <v>0</v>
      </c>
      <c r="X15" s="20">
        <f t="shared" ref="X15:X16" si="9">SUM(Y15:AC15)</f>
        <v>514.86</v>
      </c>
      <c r="Y15" s="27">
        <v>395.44</v>
      </c>
      <c r="Z15" s="25">
        <v>0</v>
      </c>
      <c r="AA15" s="20">
        <v>0</v>
      </c>
      <c r="AB15" s="20">
        <f t="shared" ref="AB15:AB16" si="10">ROUND(Y15*0.302,2)</f>
        <v>119.42</v>
      </c>
      <c r="AC15" s="25">
        <v>0</v>
      </c>
      <c r="AD15" s="25">
        <f>98.23+4.2</f>
        <v>102.43</v>
      </c>
      <c r="AE15" s="25">
        <f>174.3+0.3</f>
        <v>174.60000000000002</v>
      </c>
    </row>
    <row r="16" spans="1:31" ht="63" x14ac:dyDescent="0.25">
      <c r="A16" s="23" t="s">
        <v>51</v>
      </c>
      <c r="B16" s="17" t="s">
        <v>50</v>
      </c>
      <c r="C16" s="17" t="s">
        <v>40</v>
      </c>
      <c r="D16" s="29" t="s">
        <v>45</v>
      </c>
      <c r="E16" s="19">
        <v>1</v>
      </c>
      <c r="F16" s="20">
        <f t="shared" si="6"/>
        <v>15799.06</v>
      </c>
      <c r="G16" s="20">
        <f t="shared" si="7"/>
        <v>10866.15</v>
      </c>
      <c r="H16" s="20">
        <v>8345.74</v>
      </c>
      <c r="I16" s="25">
        <v>0</v>
      </c>
      <c r="J16" s="20">
        <v>0</v>
      </c>
      <c r="K16" s="20">
        <f t="shared" si="8"/>
        <v>2520.41</v>
      </c>
      <c r="L16" s="20"/>
      <c r="M16" s="25">
        <v>887.33999999999992</v>
      </c>
      <c r="N16" s="25">
        <v>0</v>
      </c>
      <c r="O16" s="25">
        <v>514.5</v>
      </c>
      <c r="P16" s="25">
        <v>0</v>
      </c>
      <c r="Q16" s="25">
        <v>41.67</v>
      </c>
      <c r="R16" s="20">
        <v>506.39</v>
      </c>
      <c r="S16" s="25">
        <v>547.55999999999995</v>
      </c>
      <c r="T16" s="20">
        <f>764.2-2.78</f>
        <v>761.42000000000007</v>
      </c>
      <c r="U16" s="20">
        <v>0</v>
      </c>
      <c r="V16" s="25">
        <v>743.78</v>
      </c>
      <c r="W16" s="20">
        <v>0</v>
      </c>
      <c r="X16" s="20">
        <f t="shared" si="9"/>
        <v>975.25</v>
      </c>
      <c r="Y16" s="27">
        <v>749.04</v>
      </c>
      <c r="Z16" s="25">
        <v>0</v>
      </c>
      <c r="AA16" s="20">
        <v>0</v>
      </c>
      <c r="AB16" s="20">
        <f t="shared" si="10"/>
        <v>226.21</v>
      </c>
      <c r="AC16" s="25">
        <v>0</v>
      </c>
      <c r="AD16" s="25">
        <v>469.5</v>
      </c>
      <c r="AE16" s="25">
        <v>0</v>
      </c>
    </row>
    <row r="17" spans="1:31" ht="25.5" x14ac:dyDescent="0.35">
      <c r="A17" s="305" t="s">
        <v>154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</row>
    <row r="18" spans="1:31" ht="78.75" x14ac:dyDescent="0.25">
      <c r="A18" s="236" t="s">
        <v>51</v>
      </c>
      <c r="B18" s="17" t="s">
        <v>49</v>
      </c>
      <c r="C18" s="235" t="s">
        <v>37</v>
      </c>
      <c r="D18" s="232" t="s">
        <v>45</v>
      </c>
      <c r="E18" s="19">
        <v>1</v>
      </c>
      <c r="F18" s="20">
        <f t="shared" ref="F18:F19" si="11">SUM(G18,M18,Q18,R18,S18,T18,V18,W18,X18,AD18,P18,U18)</f>
        <v>3277.48</v>
      </c>
      <c r="G18" s="20">
        <f t="shared" ref="G18:G19" si="12">SUM(H18:L18)</f>
        <v>2008.5</v>
      </c>
      <c r="H18" s="20">
        <v>1542.63</v>
      </c>
      <c r="I18" s="25">
        <v>0</v>
      </c>
      <c r="J18" s="20">
        <v>0</v>
      </c>
      <c r="K18" s="20">
        <f t="shared" ref="K18:K19" si="13">ROUND(H18*0.302,2)</f>
        <v>465.87</v>
      </c>
      <c r="L18" s="20"/>
      <c r="M18" s="25">
        <f>296.78-78.45</f>
        <v>218.32999999999998</v>
      </c>
      <c r="N18" s="25">
        <v>22.18</v>
      </c>
      <c r="O18" s="25">
        <v>84.67</v>
      </c>
      <c r="P18" s="25">
        <v>0</v>
      </c>
      <c r="Q18" s="25">
        <v>106.38</v>
      </c>
      <c r="R18" s="20">
        <v>86.65</v>
      </c>
      <c r="S18" s="25">
        <v>111.56</v>
      </c>
      <c r="T18" s="20">
        <v>105.44</v>
      </c>
      <c r="U18" s="20">
        <v>0</v>
      </c>
      <c r="V18" s="25">
        <v>29.45</v>
      </c>
      <c r="W18" s="20">
        <v>0</v>
      </c>
      <c r="X18" s="20">
        <f t="shared" ref="X18:X19" si="14">SUM(Y18:AC18)</f>
        <v>515.21</v>
      </c>
      <c r="Y18" s="27">
        <v>395.71</v>
      </c>
      <c r="Z18" s="25">
        <v>0</v>
      </c>
      <c r="AA18" s="20">
        <v>0</v>
      </c>
      <c r="AB18" s="20">
        <f t="shared" ref="AB18:AB19" si="15">ROUND(Y18*0.302,2)</f>
        <v>119.5</v>
      </c>
      <c r="AC18" s="25">
        <v>0</v>
      </c>
      <c r="AD18" s="25">
        <f>95.45+0.51</f>
        <v>95.960000000000008</v>
      </c>
      <c r="AE18" s="25">
        <f>174.3+0.9</f>
        <v>175.20000000000002</v>
      </c>
    </row>
    <row r="19" spans="1:31" ht="63" x14ac:dyDescent="0.25">
      <c r="A19" s="236" t="s">
        <v>51</v>
      </c>
      <c r="B19" s="17" t="s">
        <v>50</v>
      </c>
      <c r="C19" s="235" t="s">
        <v>40</v>
      </c>
      <c r="D19" s="232" t="s">
        <v>45</v>
      </c>
      <c r="E19" s="19">
        <v>1</v>
      </c>
      <c r="F19" s="20">
        <f t="shared" si="11"/>
        <v>15880.050000000001</v>
      </c>
      <c r="G19" s="20">
        <f t="shared" si="12"/>
        <v>10946.86</v>
      </c>
      <c r="H19" s="20">
        <v>8407.73</v>
      </c>
      <c r="I19" s="25">
        <v>0</v>
      </c>
      <c r="J19" s="20">
        <v>0</v>
      </c>
      <c r="K19" s="20">
        <f t="shared" si="13"/>
        <v>2539.13</v>
      </c>
      <c r="L19" s="20"/>
      <c r="M19" s="25">
        <v>887.33999999999992</v>
      </c>
      <c r="N19" s="25">
        <v>0</v>
      </c>
      <c r="O19" s="25">
        <v>514.5</v>
      </c>
      <c r="P19" s="25">
        <v>0</v>
      </c>
      <c r="Q19" s="25">
        <v>41.67</v>
      </c>
      <c r="R19" s="20">
        <v>506.39</v>
      </c>
      <c r="S19" s="25">
        <f>547.56-2.5</f>
        <v>545.05999999999995</v>
      </c>
      <c r="T19" s="20">
        <v>764.2</v>
      </c>
      <c r="U19" s="20">
        <v>0</v>
      </c>
      <c r="V19" s="25">
        <v>743.78</v>
      </c>
      <c r="W19" s="20">
        <v>0</v>
      </c>
      <c r="X19" s="20">
        <f t="shared" si="14"/>
        <v>975.25</v>
      </c>
      <c r="Y19" s="27">
        <v>749.04</v>
      </c>
      <c r="Z19" s="25">
        <v>0</v>
      </c>
      <c r="AA19" s="20">
        <v>0</v>
      </c>
      <c r="AB19" s="20">
        <f t="shared" si="15"/>
        <v>226.21</v>
      </c>
      <c r="AC19" s="25">
        <v>0</v>
      </c>
      <c r="AD19" s="25">
        <v>469.5</v>
      </c>
      <c r="AE19" s="25">
        <v>0</v>
      </c>
    </row>
    <row r="21" spans="1:31" ht="57.75" customHeight="1" x14ac:dyDescent="0.25">
      <c r="A21" s="304" t="s">
        <v>168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</row>
    <row r="23" spans="1:31" ht="15.75" customHeight="1" x14ac:dyDescent="0.25">
      <c r="A23" s="238" t="s">
        <v>0</v>
      </c>
      <c r="B23" s="242" t="s">
        <v>1</v>
      </c>
      <c r="C23" s="303" t="s">
        <v>2</v>
      </c>
      <c r="D23" s="303"/>
      <c r="E23" s="303"/>
      <c r="F23" s="242" t="s">
        <v>3</v>
      </c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</row>
    <row r="24" spans="1:31" ht="15.75" x14ac:dyDescent="0.25">
      <c r="A24" s="238"/>
      <c r="B24" s="242"/>
      <c r="C24" s="249" t="s">
        <v>7</v>
      </c>
      <c r="D24" s="249" t="s">
        <v>8</v>
      </c>
      <c r="E24" s="303" t="s">
        <v>144</v>
      </c>
      <c r="F24" s="246" t="s">
        <v>10</v>
      </c>
      <c r="G24" s="250" t="s">
        <v>11</v>
      </c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</row>
    <row r="25" spans="1:31" ht="15.75" x14ac:dyDescent="0.25">
      <c r="A25" s="238"/>
      <c r="B25" s="242"/>
      <c r="C25" s="249"/>
      <c r="D25" s="249"/>
      <c r="E25" s="303"/>
      <c r="F25" s="246"/>
      <c r="G25" s="242" t="s">
        <v>12</v>
      </c>
      <c r="H25" s="242"/>
      <c r="I25" s="242"/>
      <c r="J25" s="242"/>
      <c r="K25" s="242"/>
      <c r="L25" s="242"/>
      <c r="M25" s="242" t="s">
        <v>13</v>
      </c>
      <c r="N25" s="242"/>
      <c r="O25" s="242"/>
      <c r="P25" s="242" t="s">
        <v>14</v>
      </c>
      <c r="Q25" s="242" t="s">
        <v>15</v>
      </c>
      <c r="R25" s="242" t="s">
        <v>16</v>
      </c>
      <c r="S25" s="242" t="s">
        <v>17</v>
      </c>
      <c r="T25" s="242" t="s">
        <v>18</v>
      </c>
      <c r="U25" s="242" t="s">
        <v>19</v>
      </c>
      <c r="V25" s="242" t="s">
        <v>20</v>
      </c>
      <c r="W25" s="242" t="s">
        <v>21</v>
      </c>
      <c r="X25" s="242" t="s">
        <v>22</v>
      </c>
      <c r="Y25" s="242"/>
      <c r="Z25" s="242"/>
      <c r="AA25" s="242"/>
      <c r="AB25" s="242"/>
      <c r="AC25" s="242"/>
      <c r="AD25" s="242" t="s">
        <v>23</v>
      </c>
    </row>
    <row r="26" spans="1:31" ht="15.75" x14ac:dyDescent="0.25">
      <c r="A26" s="238"/>
      <c r="B26" s="242"/>
      <c r="C26" s="249"/>
      <c r="D26" s="249"/>
      <c r="E26" s="303"/>
      <c r="F26" s="246"/>
      <c r="G26" s="246" t="s">
        <v>24</v>
      </c>
      <c r="H26" s="242" t="s">
        <v>11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6" t="s">
        <v>25</v>
      </c>
      <c r="Y26" s="242" t="s">
        <v>11</v>
      </c>
      <c r="Z26" s="242"/>
      <c r="AA26" s="242"/>
      <c r="AB26" s="242"/>
      <c r="AC26" s="242"/>
      <c r="AD26" s="242"/>
    </row>
    <row r="27" spans="1:31" ht="62.25" customHeight="1" x14ac:dyDescent="0.25">
      <c r="A27" s="238"/>
      <c r="B27" s="242"/>
      <c r="C27" s="249"/>
      <c r="D27" s="249"/>
      <c r="E27" s="303"/>
      <c r="F27" s="246"/>
      <c r="G27" s="246"/>
      <c r="H27" s="242" t="s">
        <v>26</v>
      </c>
      <c r="I27" s="242" t="s">
        <v>27</v>
      </c>
      <c r="J27" s="242" t="s">
        <v>28</v>
      </c>
      <c r="K27" s="242" t="s">
        <v>29</v>
      </c>
      <c r="L27" s="242" t="s">
        <v>30</v>
      </c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6"/>
      <c r="Y27" s="242" t="s">
        <v>26</v>
      </c>
      <c r="Z27" s="242" t="s">
        <v>27</v>
      </c>
      <c r="AA27" s="242" t="s">
        <v>28</v>
      </c>
      <c r="AB27" s="242" t="s">
        <v>29</v>
      </c>
      <c r="AC27" s="242" t="s">
        <v>30</v>
      </c>
      <c r="AD27" s="242"/>
    </row>
    <row r="28" spans="1:31" ht="15.75" x14ac:dyDescent="0.25">
      <c r="A28" s="238"/>
      <c r="B28" s="242"/>
      <c r="C28" s="249"/>
      <c r="D28" s="249"/>
      <c r="E28" s="303"/>
      <c r="F28" s="246"/>
      <c r="G28" s="246"/>
      <c r="H28" s="242"/>
      <c r="I28" s="242"/>
      <c r="J28" s="242"/>
      <c r="K28" s="242"/>
      <c r="L28" s="242"/>
      <c r="M28" s="246" t="s">
        <v>31</v>
      </c>
      <c r="N28" s="242" t="s">
        <v>32</v>
      </c>
      <c r="O28" s="242"/>
      <c r="P28" s="242"/>
      <c r="Q28" s="242"/>
      <c r="R28" s="242"/>
      <c r="S28" s="242"/>
      <c r="T28" s="242"/>
      <c r="U28" s="242"/>
      <c r="V28" s="242"/>
      <c r="W28" s="242"/>
      <c r="X28" s="246"/>
      <c r="Y28" s="242"/>
      <c r="Z28" s="242"/>
      <c r="AA28" s="242"/>
      <c r="AB28" s="242"/>
      <c r="AC28" s="242"/>
      <c r="AD28" s="242"/>
    </row>
    <row r="29" spans="1:31" ht="102" customHeight="1" x14ac:dyDescent="0.25">
      <c r="A29" s="238"/>
      <c r="B29" s="242"/>
      <c r="C29" s="249"/>
      <c r="D29" s="249"/>
      <c r="E29" s="303"/>
      <c r="F29" s="246"/>
      <c r="G29" s="246"/>
      <c r="H29" s="242"/>
      <c r="I29" s="242"/>
      <c r="J29" s="242"/>
      <c r="K29" s="242"/>
      <c r="L29" s="242"/>
      <c r="M29" s="246"/>
      <c r="N29" s="229" t="s">
        <v>33</v>
      </c>
      <c r="O29" s="229" t="s">
        <v>34</v>
      </c>
      <c r="P29" s="242"/>
      <c r="Q29" s="242"/>
      <c r="R29" s="242"/>
      <c r="S29" s="242"/>
      <c r="T29" s="242"/>
      <c r="U29" s="242"/>
      <c r="V29" s="242"/>
      <c r="W29" s="242"/>
      <c r="X29" s="246"/>
      <c r="Y29" s="242"/>
      <c r="Z29" s="242"/>
      <c r="AA29" s="242"/>
      <c r="AB29" s="242"/>
      <c r="AC29" s="242"/>
      <c r="AD29" s="242"/>
    </row>
    <row r="30" spans="1:31" ht="15.75" x14ac:dyDescent="0.25">
      <c r="A30" s="230">
        <v>1</v>
      </c>
      <c r="B30" s="235">
        <v>2</v>
      </c>
      <c r="C30" s="232">
        <v>3</v>
      </c>
      <c r="D30" s="235">
        <v>4</v>
      </c>
      <c r="E30" s="232">
        <v>5</v>
      </c>
      <c r="F30" s="235">
        <v>6</v>
      </c>
      <c r="G30" s="232">
        <v>7</v>
      </c>
      <c r="H30" s="235">
        <v>8</v>
      </c>
      <c r="I30" s="232">
        <v>9</v>
      </c>
      <c r="J30" s="235">
        <v>10</v>
      </c>
      <c r="K30" s="232">
        <v>11</v>
      </c>
      <c r="L30" s="235">
        <v>12</v>
      </c>
      <c r="M30" s="232">
        <v>13</v>
      </c>
      <c r="N30" s="235">
        <v>14</v>
      </c>
      <c r="O30" s="232">
        <v>15</v>
      </c>
      <c r="P30" s="235">
        <v>16</v>
      </c>
      <c r="Q30" s="232">
        <v>17</v>
      </c>
      <c r="R30" s="235">
        <v>18</v>
      </c>
      <c r="S30" s="232">
        <v>19</v>
      </c>
      <c r="T30" s="235">
        <v>20</v>
      </c>
      <c r="U30" s="232">
        <v>21</v>
      </c>
      <c r="V30" s="235">
        <v>22</v>
      </c>
      <c r="W30" s="232">
        <v>23</v>
      </c>
      <c r="X30" s="235">
        <v>24</v>
      </c>
      <c r="Y30" s="232">
        <v>25</v>
      </c>
      <c r="Z30" s="235">
        <v>26</v>
      </c>
      <c r="AA30" s="232">
        <v>27</v>
      </c>
      <c r="AB30" s="235">
        <v>28</v>
      </c>
      <c r="AC30" s="232">
        <v>29</v>
      </c>
      <c r="AD30" s="235">
        <v>30</v>
      </c>
    </row>
    <row r="31" spans="1:31" ht="25.5" x14ac:dyDescent="0.35">
      <c r="A31" s="305" t="s">
        <v>72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</row>
    <row r="32" spans="1:31" ht="74.25" customHeight="1" x14ac:dyDescent="0.25">
      <c r="A32" s="222" t="s">
        <v>51</v>
      </c>
      <c r="B32" s="17" t="s">
        <v>142</v>
      </c>
      <c r="C32" s="17" t="s">
        <v>143</v>
      </c>
      <c r="D32" s="29" t="s">
        <v>45</v>
      </c>
      <c r="E32" s="223">
        <v>1</v>
      </c>
      <c r="F32" s="20">
        <f>SUM(G32,M32,Q32,R32,S32,T32,V32,W32,X32,AD32,P32,U32)</f>
        <v>2926132.9600000004</v>
      </c>
      <c r="G32" s="20">
        <f t="shared" ref="G32" si="16">SUM(H32:L32)</f>
        <v>1882951.4500000002</v>
      </c>
      <c r="H32" s="22">
        <v>1446199.2700000003</v>
      </c>
      <c r="I32" s="25">
        <v>0</v>
      </c>
      <c r="J32" s="20">
        <v>0</v>
      </c>
      <c r="K32" s="20">
        <f t="shared" ref="K32" si="17">ROUND(H32*0.302,2)</f>
        <v>436752.18</v>
      </c>
      <c r="L32" s="20">
        <v>0</v>
      </c>
      <c r="M32" s="20">
        <v>376217.8</v>
      </c>
      <c r="N32" s="20">
        <v>149094.70000000001</v>
      </c>
      <c r="O32" s="20">
        <v>29294.2</v>
      </c>
      <c r="P32" s="20">
        <v>0</v>
      </c>
      <c r="Q32" s="20">
        <v>99565.2</v>
      </c>
      <c r="R32" s="20">
        <f>31336.18</f>
        <v>31336.18</v>
      </c>
      <c r="S32" s="20">
        <v>71189.3</v>
      </c>
      <c r="T32" s="20">
        <v>39102.1</v>
      </c>
      <c r="U32" s="20">
        <v>0</v>
      </c>
      <c r="V32" s="20">
        <v>10521.5</v>
      </c>
      <c r="W32" s="20">
        <v>0</v>
      </c>
      <c r="X32" s="20">
        <f>SUM(Y32:AC32)</f>
        <v>311850.87</v>
      </c>
      <c r="Y32" s="20">
        <v>239516.79999999999</v>
      </c>
      <c r="Z32" s="25">
        <v>0</v>
      </c>
      <c r="AA32" s="20">
        <v>0</v>
      </c>
      <c r="AB32" s="20">
        <f t="shared" ref="AB32" si="18">ROUND(Y32*0.302,2)</f>
        <v>72334.070000000007</v>
      </c>
      <c r="AC32" s="20">
        <v>0</v>
      </c>
      <c r="AD32" s="20">
        <v>103398.56</v>
      </c>
    </row>
    <row r="33" spans="1:31" ht="25.5" x14ac:dyDescent="0.35">
      <c r="A33" s="305" t="s">
        <v>86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</row>
    <row r="34" spans="1:31" ht="47.25" x14ac:dyDescent="0.25">
      <c r="A34" s="222" t="s">
        <v>51</v>
      </c>
      <c r="B34" s="17" t="s">
        <v>142</v>
      </c>
      <c r="C34" s="17" t="s">
        <v>143</v>
      </c>
      <c r="D34" s="29" t="s">
        <v>45</v>
      </c>
      <c r="E34" s="19">
        <v>1</v>
      </c>
      <c r="F34" s="20">
        <v>2909327.0000000005</v>
      </c>
      <c r="G34" s="20">
        <v>1867802.07</v>
      </c>
      <c r="H34" s="22">
        <v>1434563.8</v>
      </c>
      <c r="I34" s="25">
        <v>0</v>
      </c>
      <c r="J34" s="20">
        <v>0</v>
      </c>
      <c r="K34" s="20">
        <v>433238.27</v>
      </c>
      <c r="L34" s="20">
        <v>0</v>
      </c>
      <c r="M34" s="20">
        <v>376217.8</v>
      </c>
      <c r="N34" s="20">
        <v>149094.70000000001</v>
      </c>
      <c r="O34" s="20">
        <v>29294.2</v>
      </c>
      <c r="P34" s="20">
        <v>0</v>
      </c>
      <c r="Q34" s="20">
        <v>99565.2</v>
      </c>
      <c r="R34" s="20">
        <v>29680.6</v>
      </c>
      <c r="S34" s="20">
        <v>71189.3</v>
      </c>
      <c r="T34" s="20">
        <v>39102.1</v>
      </c>
      <c r="U34" s="20">
        <v>0</v>
      </c>
      <c r="V34" s="20">
        <v>10521.5</v>
      </c>
      <c r="W34" s="20">
        <v>0</v>
      </c>
      <c r="X34" s="20">
        <v>311850.87</v>
      </c>
      <c r="Y34" s="20">
        <v>239516.79999999999</v>
      </c>
      <c r="Z34" s="20">
        <v>0</v>
      </c>
      <c r="AA34" s="20">
        <v>0</v>
      </c>
      <c r="AB34" s="20">
        <v>72334.070000000007</v>
      </c>
      <c r="AC34" s="20">
        <v>0</v>
      </c>
      <c r="AD34" s="20">
        <v>103397.56</v>
      </c>
    </row>
  </sheetData>
  <mergeCells count="82">
    <mergeCell ref="A31:AE31"/>
    <mergeCell ref="A33:AE33"/>
    <mergeCell ref="A1:AE1"/>
    <mergeCell ref="A11:AE11"/>
    <mergeCell ref="A3:A9"/>
    <mergeCell ref="B3:B9"/>
    <mergeCell ref="C3:D3"/>
    <mergeCell ref="F3:AD3"/>
    <mergeCell ref="AE3:AE9"/>
    <mergeCell ref="C4:C9"/>
    <mergeCell ref="AD5:AD9"/>
    <mergeCell ref="Z7:Z9"/>
    <mergeCell ref="AA7:AA9"/>
    <mergeCell ref="AB7:AB9"/>
    <mergeCell ref="AC7:AC9"/>
    <mergeCell ref="D4:D9"/>
    <mergeCell ref="E4:E9"/>
    <mergeCell ref="F4:F9"/>
    <mergeCell ref="G4:AD4"/>
    <mergeCell ref="G5:L5"/>
    <mergeCell ref="M5:O7"/>
    <mergeCell ref="P5:P9"/>
    <mergeCell ref="Q5:Q9"/>
    <mergeCell ref="R5:R9"/>
    <mergeCell ref="S5:S9"/>
    <mergeCell ref="M8:M9"/>
    <mergeCell ref="N8:O8"/>
    <mergeCell ref="A17:AE17"/>
    <mergeCell ref="A21:AE21"/>
    <mergeCell ref="A23:A29"/>
    <mergeCell ref="B23:B29"/>
    <mergeCell ref="C23:E23"/>
    <mergeCell ref="F23:AD23"/>
    <mergeCell ref="C24:C29"/>
    <mergeCell ref="D24:D29"/>
    <mergeCell ref="E24:E29"/>
    <mergeCell ref="F24:F29"/>
    <mergeCell ref="G24:AD24"/>
    <mergeCell ref="G25:L25"/>
    <mergeCell ref="M25:O27"/>
    <mergeCell ref="P25:P29"/>
    <mergeCell ref="Q25:Q29"/>
    <mergeCell ref="R25:R29"/>
    <mergeCell ref="A14:AE14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V5:V9"/>
    <mergeCell ref="W5:W9"/>
    <mergeCell ref="X5:AC5"/>
    <mergeCell ref="M28:M29"/>
    <mergeCell ref="N28:O28"/>
    <mergeCell ref="AD25:AD29"/>
    <mergeCell ref="G26:G29"/>
    <mergeCell ref="H26:L26"/>
    <mergeCell ref="X26:X29"/>
    <mergeCell ref="Y26:AC26"/>
    <mergeCell ref="H27:H29"/>
    <mergeCell ref="I27:I29"/>
    <mergeCell ref="J27:J29"/>
    <mergeCell ref="K27:K29"/>
    <mergeCell ref="L27:L29"/>
    <mergeCell ref="S25:S29"/>
    <mergeCell ref="T25:T29"/>
    <mergeCell ref="U25:U29"/>
    <mergeCell ref="V25:V29"/>
    <mergeCell ref="W25:W29"/>
    <mergeCell ref="X25:AC25"/>
    <mergeCell ref="Y27:Y29"/>
    <mergeCell ref="Z27:Z29"/>
    <mergeCell ref="AA27:AA29"/>
    <mergeCell ref="AB27:AB29"/>
    <mergeCell ref="AC27:AC29"/>
  </mergeCells>
  <pageMargins left="0.25" right="0.25" top="0.75" bottom="0.75" header="0.3" footer="0.3"/>
  <pageSetup paperSize="9" scale="23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"/>
  <sheetViews>
    <sheetView view="pageBreakPreview" topLeftCell="F4" zoomScale="60" zoomScaleNormal="55" workbookViewId="0">
      <selection activeCell="F12" sqref="A1:XFD1048576"/>
    </sheetView>
  </sheetViews>
  <sheetFormatPr defaultRowHeight="15" x14ac:dyDescent="0.25"/>
  <cols>
    <col min="1" max="1" width="27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19.710937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7.285156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285156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32" width="10.7109375" style="1" customWidth="1"/>
    <col min="33" max="33" width="11" style="1" customWidth="1"/>
    <col min="34" max="16384" width="9.140625" style="1"/>
  </cols>
  <sheetData>
    <row r="1" spans="1:31" ht="81.75" customHeight="1" x14ac:dyDescent="0.25">
      <c r="A1" s="304" t="s">
        <v>169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</row>
    <row r="3" spans="1:31" ht="15.75" customHeight="1" x14ac:dyDescent="0.25">
      <c r="A3" s="247" t="s">
        <v>0</v>
      </c>
      <c r="B3" s="243" t="s">
        <v>1</v>
      </c>
      <c r="C3" s="248" t="s">
        <v>2</v>
      </c>
      <c r="D3" s="248"/>
      <c r="E3" s="231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5</v>
      </c>
    </row>
    <row r="4" spans="1:31" ht="15.75" x14ac:dyDescent="0.25">
      <c r="A4" s="238"/>
      <c r="B4" s="242"/>
      <c r="C4" s="249" t="s">
        <v>7</v>
      </c>
      <c r="D4" s="249" t="s">
        <v>8</v>
      </c>
      <c r="E4" s="303" t="s">
        <v>144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</row>
    <row r="5" spans="1:31" ht="15.75" x14ac:dyDescent="0.25">
      <c r="A5" s="238"/>
      <c r="B5" s="242"/>
      <c r="C5" s="249"/>
      <c r="D5" s="249"/>
      <c r="E5" s="303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</row>
    <row r="6" spans="1:31" ht="15.75" x14ac:dyDescent="0.25">
      <c r="A6" s="238"/>
      <c r="B6" s="242"/>
      <c r="C6" s="249"/>
      <c r="D6" s="249"/>
      <c r="E6" s="303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</row>
    <row r="7" spans="1:31" ht="72.75" customHeight="1" x14ac:dyDescent="0.25">
      <c r="A7" s="238"/>
      <c r="B7" s="242"/>
      <c r="C7" s="249"/>
      <c r="D7" s="249"/>
      <c r="E7" s="303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</row>
    <row r="8" spans="1:31" ht="15.75" x14ac:dyDescent="0.25">
      <c r="A8" s="238"/>
      <c r="B8" s="242"/>
      <c r="C8" s="249"/>
      <c r="D8" s="249"/>
      <c r="E8" s="303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</row>
    <row r="9" spans="1:31" ht="105" customHeight="1" x14ac:dyDescent="0.25">
      <c r="A9" s="238"/>
      <c r="B9" s="242"/>
      <c r="C9" s="249"/>
      <c r="D9" s="249"/>
      <c r="E9" s="303"/>
      <c r="F9" s="246"/>
      <c r="G9" s="246"/>
      <c r="H9" s="242"/>
      <c r="I9" s="242"/>
      <c r="J9" s="242"/>
      <c r="K9" s="242"/>
      <c r="L9" s="242"/>
      <c r="M9" s="246"/>
      <c r="N9" s="229" t="s">
        <v>33</v>
      </c>
      <c r="O9" s="229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</row>
    <row r="10" spans="1:31" ht="15.75" x14ac:dyDescent="0.25">
      <c r="A10" s="230">
        <v>1</v>
      </c>
      <c r="B10" s="235">
        <v>2</v>
      </c>
      <c r="C10" s="232">
        <v>3</v>
      </c>
      <c r="D10" s="235">
        <v>4</v>
      </c>
      <c r="E10" s="232"/>
      <c r="F10" s="235">
        <v>6</v>
      </c>
      <c r="G10" s="232">
        <v>7</v>
      </c>
      <c r="H10" s="235">
        <v>8</v>
      </c>
      <c r="I10" s="232">
        <v>9</v>
      </c>
      <c r="J10" s="235">
        <v>10</v>
      </c>
      <c r="K10" s="232">
        <v>11</v>
      </c>
      <c r="L10" s="235">
        <v>12</v>
      </c>
      <c r="M10" s="232">
        <v>13</v>
      </c>
      <c r="N10" s="229">
        <v>14</v>
      </c>
      <c r="O10" s="235">
        <v>15</v>
      </c>
      <c r="P10" s="235">
        <f>O10+1</f>
        <v>16</v>
      </c>
      <c r="Q10" s="235">
        <f t="shared" ref="Q10:AD10" si="0">P10+1</f>
        <v>17</v>
      </c>
      <c r="R10" s="235">
        <f t="shared" si="0"/>
        <v>18</v>
      </c>
      <c r="S10" s="235">
        <f t="shared" si="0"/>
        <v>19</v>
      </c>
      <c r="T10" s="235">
        <f t="shared" si="0"/>
        <v>20</v>
      </c>
      <c r="U10" s="235">
        <f t="shared" si="0"/>
        <v>21</v>
      </c>
      <c r="V10" s="235">
        <f t="shared" si="0"/>
        <v>22</v>
      </c>
      <c r="W10" s="235">
        <f t="shared" si="0"/>
        <v>23</v>
      </c>
      <c r="X10" s="235">
        <f t="shared" si="0"/>
        <v>24</v>
      </c>
      <c r="Y10" s="235">
        <f t="shared" si="0"/>
        <v>25</v>
      </c>
      <c r="Z10" s="235">
        <f t="shared" si="0"/>
        <v>26</v>
      </c>
      <c r="AA10" s="235">
        <f t="shared" si="0"/>
        <v>27</v>
      </c>
      <c r="AB10" s="235">
        <f t="shared" si="0"/>
        <v>28</v>
      </c>
      <c r="AC10" s="235">
        <f t="shared" si="0"/>
        <v>29</v>
      </c>
      <c r="AD10" s="235">
        <f t="shared" si="0"/>
        <v>30</v>
      </c>
      <c r="AE10" s="235">
        <f>AD10+1</f>
        <v>31</v>
      </c>
    </row>
    <row r="11" spans="1:31" ht="25.5" x14ac:dyDescent="0.35">
      <c r="A11" s="305" t="s">
        <v>72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</row>
    <row r="12" spans="1:31" ht="78.75" x14ac:dyDescent="0.25">
      <c r="A12" s="23" t="s">
        <v>52</v>
      </c>
      <c r="B12" s="17" t="s">
        <v>49</v>
      </c>
      <c r="C12" s="17" t="s">
        <v>37</v>
      </c>
      <c r="D12" s="17" t="s">
        <v>53</v>
      </c>
      <c r="E12" s="19">
        <v>1</v>
      </c>
      <c r="F12" s="20">
        <f t="shared" ref="F12:F13" si="1">SUM(G12,M12,Q12,R12,S12,T12,V12,W12,X12,AD12,P12,U12)</f>
        <v>7467.19</v>
      </c>
      <c r="G12" s="20">
        <f t="shared" ref="G12:G13" si="2">SUM(H12:L12)</f>
        <v>3426.86</v>
      </c>
      <c r="H12" s="20">
        <v>2632</v>
      </c>
      <c r="I12" s="25">
        <v>0</v>
      </c>
      <c r="J12" s="20">
        <v>0</v>
      </c>
      <c r="K12" s="20">
        <f t="shared" ref="K12:K13" si="3">ROUND(H12*0.302,2)</f>
        <v>794.86</v>
      </c>
      <c r="L12" s="20"/>
      <c r="M12" s="25">
        <v>401.07</v>
      </c>
      <c r="N12" s="25">
        <v>0</v>
      </c>
      <c r="O12" s="25">
        <v>0</v>
      </c>
      <c r="P12" s="25">
        <v>0</v>
      </c>
      <c r="Q12" s="25">
        <f>643.82-345.68-86.44</f>
        <v>211.70000000000005</v>
      </c>
      <c r="R12" s="20">
        <v>79.03</v>
      </c>
      <c r="S12" s="25">
        <f>1496.83-191.07</f>
        <v>1305.76</v>
      </c>
      <c r="T12" s="20">
        <v>0</v>
      </c>
      <c r="U12" s="20">
        <v>0</v>
      </c>
      <c r="V12" s="25">
        <v>11.2</v>
      </c>
      <c r="W12" s="20">
        <v>12.7</v>
      </c>
      <c r="X12" s="20">
        <f t="shared" ref="X12:X13" si="4">SUM(Y12:AC12)</f>
        <v>1902.34</v>
      </c>
      <c r="Y12" s="27">
        <v>1461.09</v>
      </c>
      <c r="Z12" s="25">
        <v>0</v>
      </c>
      <c r="AA12" s="20">
        <v>0</v>
      </c>
      <c r="AB12" s="20">
        <f t="shared" ref="AB12:AB13" si="5">ROUND(Y12*0.302,2)</f>
        <v>441.25</v>
      </c>
      <c r="AC12" s="25">
        <v>0</v>
      </c>
      <c r="AD12" s="25">
        <v>116.53</v>
      </c>
      <c r="AE12" s="25">
        <v>456.3</v>
      </c>
    </row>
    <row r="13" spans="1:31" ht="63" x14ac:dyDescent="0.25">
      <c r="A13" s="23" t="s">
        <v>52</v>
      </c>
      <c r="B13" s="17" t="s">
        <v>50</v>
      </c>
      <c r="C13" s="17" t="s">
        <v>40</v>
      </c>
      <c r="D13" s="17" t="s">
        <v>53</v>
      </c>
      <c r="E13" s="19">
        <v>1</v>
      </c>
      <c r="F13" s="20">
        <f t="shared" si="1"/>
        <v>117875.14400000001</v>
      </c>
      <c r="G13" s="20">
        <f t="shared" si="2"/>
        <v>38673.96</v>
      </c>
      <c r="H13" s="20">
        <v>29703.5</v>
      </c>
      <c r="I13" s="20"/>
      <c r="J13" s="20"/>
      <c r="K13" s="20">
        <f t="shared" si="3"/>
        <v>8970.4599999999991</v>
      </c>
      <c r="L13" s="20"/>
      <c r="M13" s="20">
        <v>102.78</v>
      </c>
      <c r="N13" s="20">
        <v>0</v>
      </c>
      <c r="O13" s="20">
        <v>0</v>
      </c>
      <c r="P13" s="32">
        <v>0</v>
      </c>
      <c r="Q13" s="20">
        <v>3111.98</v>
      </c>
      <c r="R13" s="20">
        <v>1533.47</v>
      </c>
      <c r="S13" s="20">
        <v>39592.980000000003</v>
      </c>
      <c r="T13" s="22">
        <f>25123.33-3080.916</f>
        <v>22042.414000000001</v>
      </c>
      <c r="U13" s="20">
        <v>0</v>
      </c>
      <c r="V13" s="20">
        <v>3275.12</v>
      </c>
      <c r="W13" s="20">
        <v>277.33999999999997</v>
      </c>
      <c r="X13" s="20">
        <f>SUM(Y13:AC13)</f>
        <v>9265.1</v>
      </c>
      <c r="Y13" s="27">
        <v>7116.05</v>
      </c>
      <c r="Z13" s="20"/>
      <c r="AA13" s="20"/>
      <c r="AB13" s="20">
        <f t="shared" si="5"/>
        <v>2149.0500000000002</v>
      </c>
      <c r="AC13" s="20"/>
      <c r="AD13" s="20">
        <v>0</v>
      </c>
      <c r="AE13" s="25">
        <v>0</v>
      </c>
    </row>
    <row r="14" spans="1:31" ht="25.5" x14ac:dyDescent="0.35">
      <c r="A14" s="305" t="s">
        <v>86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</row>
    <row r="15" spans="1:31" ht="78.75" x14ac:dyDescent="0.25">
      <c r="A15" s="23" t="s">
        <v>52</v>
      </c>
      <c r="B15" s="17" t="s">
        <v>49</v>
      </c>
      <c r="C15" s="17" t="s">
        <v>37</v>
      </c>
      <c r="D15" s="17" t="s">
        <v>53</v>
      </c>
      <c r="E15" s="224">
        <v>1</v>
      </c>
      <c r="F15" s="20">
        <f t="shared" ref="F15:F16" si="6">SUM(G15,M15,Q15,R15,S15,T15,V15,W15,X15,AD15,P15,U15)</f>
        <v>7593.4599999999991</v>
      </c>
      <c r="G15" s="20">
        <f t="shared" ref="G15:G16" si="7">SUM(H15:L15)</f>
        <v>3464.71</v>
      </c>
      <c r="H15" s="20">
        <v>2661.07</v>
      </c>
      <c r="I15" s="25">
        <v>0</v>
      </c>
      <c r="J15" s="20">
        <v>0</v>
      </c>
      <c r="K15" s="20">
        <f t="shared" ref="K15:K16" si="8">ROUND(H15*0.302,2)</f>
        <v>803.64</v>
      </c>
      <c r="L15" s="20"/>
      <c r="M15" s="25">
        <v>405.89</v>
      </c>
      <c r="N15" s="25">
        <v>0</v>
      </c>
      <c r="O15" s="25">
        <v>0</v>
      </c>
      <c r="P15" s="25">
        <v>0</v>
      </c>
      <c r="Q15" s="25">
        <f>663.11-450</f>
        <v>213.11</v>
      </c>
      <c r="R15" s="20">
        <v>79.03</v>
      </c>
      <c r="S15" s="25">
        <f>1541.74-215.76</f>
        <v>1325.98</v>
      </c>
      <c r="T15" s="20">
        <v>0</v>
      </c>
      <c r="U15" s="20">
        <v>0</v>
      </c>
      <c r="V15" s="25">
        <v>11.53</v>
      </c>
      <c r="W15" s="20">
        <v>13.08</v>
      </c>
      <c r="X15" s="20">
        <f t="shared" ref="X15:X16" si="9">SUM(Y15:AC15)</f>
        <v>1960.1100000000001</v>
      </c>
      <c r="Y15" s="27">
        <v>1505.46</v>
      </c>
      <c r="Z15" s="25">
        <v>0</v>
      </c>
      <c r="AA15" s="20">
        <v>0</v>
      </c>
      <c r="AB15" s="20">
        <f t="shared" ref="AB15:AB16" si="10">ROUND(Y15*0.302,2)</f>
        <v>454.65</v>
      </c>
      <c r="AC15" s="25">
        <v>0</v>
      </c>
      <c r="AD15" s="25">
        <v>120.02</v>
      </c>
      <c r="AE15" s="25">
        <v>456.3</v>
      </c>
    </row>
    <row r="16" spans="1:31" ht="63" x14ac:dyDescent="0.25">
      <c r="A16" s="23" t="s">
        <v>52</v>
      </c>
      <c r="B16" s="17" t="s">
        <v>50</v>
      </c>
      <c r="C16" s="17" t="s">
        <v>40</v>
      </c>
      <c r="D16" s="17" t="s">
        <v>53</v>
      </c>
      <c r="E16" s="224">
        <v>1</v>
      </c>
      <c r="F16" s="20">
        <f t="shared" si="6"/>
        <v>150620.78</v>
      </c>
      <c r="G16" s="20">
        <f t="shared" si="7"/>
        <v>92096.7</v>
      </c>
      <c r="H16" s="20">
        <v>70734.789999999994</v>
      </c>
      <c r="I16" s="25">
        <v>0</v>
      </c>
      <c r="J16" s="20">
        <v>0</v>
      </c>
      <c r="K16" s="20">
        <f t="shared" si="8"/>
        <v>21361.91</v>
      </c>
      <c r="L16" s="20"/>
      <c r="M16" s="25">
        <v>103.55</v>
      </c>
      <c r="N16" s="25">
        <v>0</v>
      </c>
      <c r="O16" s="25">
        <v>0</v>
      </c>
      <c r="P16" s="25">
        <v>0</v>
      </c>
      <c r="Q16" s="25">
        <v>994.84</v>
      </c>
      <c r="R16" s="20">
        <v>1225.3</v>
      </c>
      <c r="S16" s="25">
        <v>5102.6499999999996</v>
      </c>
      <c r="T16" s="20">
        <f>16664.88-6637.5</f>
        <v>10027.380000000001</v>
      </c>
      <c r="U16" s="20">
        <v>0</v>
      </c>
      <c r="V16" s="25">
        <v>1636.24</v>
      </c>
      <c r="W16" s="20">
        <v>309.02</v>
      </c>
      <c r="X16" s="20">
        <f t="shared" si="9"/>
        <v>39125.1</v>
      </c>
      <c r="Y16" s="27">
        <v>30050</v>
      </c>
      <c r="Z16" s="25">
        <v>0</v>
      </c>
      <c r="AA16" s="20">
        <v>0</v>
      </c>
      <c r="AB16" s="20">
        <f t="shared" si="10"/>
        <v>9075.1</v>
      </c>
      <c r="AC16" s="25">
        <v>0</v>
      </c>
      <c r="AD16" s="25">
        <v>0</v>
      </c>
      <c r="AE16" s="25">
        <v>0</v>
      </c>
    </row>
    <row r="17" spans="1:31" ht="25.5" x14ac:dyDescent="0.35">
      <c r="A17" s="305" t="s">
        <v>154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</row>
    <row r="18" spans="1:31" ht="78.75" x14ac:dyDescent="0.25">
      <c r="A18" s="236" t="s">
        <v>52</v>
      </c>
      <c r="B18" s="17" t="s">
        <v>49</v>
      </c>
      <c r="C18" s="235" t="s">
        <v>37</v>
      </c>
      <c r="D18" s="235" t="s">
        <v>53</v>
      </c>
      <c r="E18" s="19">
        <v>1</v>
      </c>
      <c r="F18" s="20">
        <f t="shared" ref="F18:F19" si="11">SUM(G18,M18,Q18,R18,S18,T18,V18,W18,X18,AD18,P18,U18)</f>
        <v>7575.7899999999991</v>
      </c>
      <c r="G18" s="20">
        <f t="shared" ref="G18:G19" si="12">SUM(H18:L18)</f>
        <v>3490.4500000000003</v>
      </c>
      <c r="H18" s="20">
        <v>2680.84</v>
      </c>
      <c r="I18" s="25">
        <v>0</v>
      </c>
      <c r="J18" s="20">
        <v>0</v>
      </c>
      <c r="K18" s="20">
        <f t="shared" ref="K18:K19" si="13">ROUND(H18*0.302,2)</f>
        <v>809.61</v>
      </c>
      <c r="L18" s="20"/>
      <c r="M18" s="25">
        <v>405.89</v>
      </c>
      <c r="N18" s="25">
        <v>0</v>
      </c>
      <c r="O18" s="25">
        <v>0</v>
      </c>
      <c r="P18" s="25">
        <v>0</v>
      </c>
      <c r="Q18" s="25">
        <f>663.11-450</f>
        <v>213.11</v>
      </c>
      <c r="R18" s="20">
        <v>79.03</v>
      </c>
      <c r="S18" s="25">
        <f>1541.74-259.17</f>
        <v>1282.57</v>
      </c>
      <c r="T18" s="20">
        <v>0</v>
      </c>
      <c r="U18" s="20">
        <v>0</v>
      </c>
      <c r="V18" s="25">
        <v>11.53</v>
      </c>
      <c r="W18" s="20">
        <v>13.08</v>
      </c>
      <c r="X18" s="20">
        <f t="shared" ref="X18:X19" si="14">SUM(Y18:AC18)</f>
        <v>1960.1100000000001</v>
      </c>
      <c r="Y18" s="27">
        <v>1505.46</v>
      </c>
      <c r="Z18" s="25">
        <v>0</v>
      </c>
      <c r="AA18" s="20">
        <v>0</v>
      </c>
      <c r="AB18" s="20">
        <f t="shared" ref="AB18:AB19" si="15">ROUND(Y18*0.302,2)</f>
        <v>454.65</v>
      </c>
      <c r="AC18" s="25">
        <v>0</v>
      </c>
      <c r="AD18" s="25">
        <v>120.02</v>
      </c>
      <c r="AE18" s="25">
        <v>456.3</v>
      </c>
    </row>
    <row r="19" spans="1:31" ht="63" x14ac:dyDescent="0.25">
      <c r="A19" s="236" t="s">
        <v>52</v>
      </c>
      <c r="B19" s="17" t="s">
        <v>50</v>
      </c>
      <c r="C19" s="235" t="s">
        <v>40</v>
      </c>
      <c r="D19" s="235" t="s">
        <v>53</v>
      </c>
      <c r="E19" s="19">
        <v>1</v>
      </c>
      <c r="F19" s="20">
        <f t="shared" si="11"/>
        <v>151304.86000000002</v>
      </c>
      <c r="G19" s="20">
        <f t="shared" si="12"/>
        <v>92780.78</v>
      </c>
      <c r="H19" s="20">
        <v>71260.2</v>
      </c>
      <c r="I19" s="25">
        <v>0</v>
      </c>
      <c r="J19" s="20">
        <v>0</v>
      </c>
      <c r="K19" s="20">
        <f t="shared" si="13"/>
        <v>21520.58</v>
      </c>
      <c r="L19" s="20"/>
      <c r="M19" s="25">
        <v>103.55</v>
      </c>
      <c r="N19" s="25">
        <v>0</v>
      </c>
      <c r="O19" s="25">
        <v>0</v>
      </c>
      <c r="P19" s="25">
        <v>0</v>
      </c>
      <c r="Q19" s="25">
        <v>994.84</v>
      </c>
      <c r="R19" s="20">
        <v>1225.3</v>
      </c>
      <c r="S19" s="25">
        <v>5102.6499999999996</v>
      </c>
      <c r="T19" s="20">
        <f>16664.88-6637.5</f>
        <v>10027.380000000001</v>
      </c>
      <c r="U19" s="20">
        <v>0</v>
      </c>
      <c r="V19" s="25">
        <v>1636.24</v>
      </c>
      <c r="W19" s="20">
        <v>309.02</v>
      </c>
      <c r="X19" s="20">
        <f t="shared" si="14"/>
        <v>39125.1</v>
      </c>
      <c r="Y19" s="27">
        <v>30050</v>
      </c>
      <c r="Z19" s="25">
        <v>0</v>
      </c>
      <c r="AA19" s="20">
        <v>0</v>
      </c>
      <c r="AB19" s="20">
        <f t="shared" si="15"/>
        <v>9075.1</v>
      </c>
      <c r="AC19" s="25">
        <v>0</v>
      </c>
      <c r="AD19" s="25">
        <v>0</v>
      </c>
      <c r="AE19" s="25">
        <v>0</v>
      </c>
    </row>
  </sheetData>
  <mergeCells count="42">
    <mergeCell ref="A1:AE1"/>
    <mergeCell ref="A11:AE1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R5:R9"/>
    <mergeCell ref="S5:S9"/>
    <mergeCell ref="V5:V9"/>
    <mergeCell ref="W5:W9"/>
    <mergeCell ref="X5:AC5"/>
    <mergeCell ref="AD5:AD9"/>
    <mergeCell ref="Z7:Z9"/>
    <mergeCell ref="AA7:AA9"/>
    <mergeCell ref="AB7:AB9"/>
    <mergeCell ref="AC7:AC9"/>
    <mergeCell ref="M8:M9"/>
    <mergeCell ref="N8:O8"/>
    <mergeCell ref="A14:AE14"/>
    <mergeCell ref="A17:AE17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</mergeCells>
  <pageMargins left="0.25" right="0.25" top="0.75" bottom="0.75" header="0.3" footer="0.3"/>
  <pageSetup paperSize="9" scale="23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6"/>
  <sheetViews>
    <sheetView view="pageBreakPreview" topLeftCell="F1" zoomScale="60" zoomScaleNormal="55" workbookViewId="0">
      <selection activeCell="F12" sqref="A1:XFD1048576"/>
    </sheetView>
  </sheetViews>
  <sheetFormatPr defaultRowHeight="15" x14ac:dyDescent="0.25"/>
  <cols>
    <col min="1" max="1" width="30.71093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1.8554687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8.42578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3" customHeight="1" x14ac:dyDescent="0.25">
      <c r="A1" s="304" t="s">
        <v>170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</row>
    <row r="3" spans="1:31" ht="15.75" customHeight="1" x14ac:dyDescent="0.25">
      <c r="A3" s="247" t="s">
        <v>0</v>
      </c>
      <c r="B3" s="243" t="s">
        <v>1</v>
      </c>
      <c r="C3" s="248" t="s">
        <v>2</v>
      </c>
      <c r="D3" s="248"/>
      <c r="E3" s="231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5</v>
      </c>
    </row>
    <row r="4" spans="1:31" ht="15.75" x14ac:dyDescent="0.25">
      <c r="A4" s="238"/>
      <c r="B4" s="242"/>
      <c r="C4" s="249" t="s">
        <v>7</v>
      </c>
      <c r="D4" s="249" t="s">
        <v>8</v>
      </c>
      <c r="E4" s="303" t="s">
        <v>144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</row>
    <row r="5" spans="1:31" ht="15.75" x14ac:dyDescent="0.25">
      <c r="A5" s="238"/>
      <c r="B5" s="242"/>
      <c r="C5" s="249"/>
      <c r="D5" s="249"/>
      <c r="E5" s="303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</row>
    <row r="6" spans="1:31" ht="15.75" x14ac:dyDescent="0.25">
      <c r="A6" s="238"/>
      <c r="B6" s="242"/>
      <c r="C6" s="249"/>
      <c r="D6" s="249"/>
      <c r="E6" s="303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</row>
    <row r="7" spans="1:31" ht="15" customHeight="1" x14ac:dyDescent="0.25">
      <c r="A7" s="238"/>
      <c r="B7" s="242"/>
      <c r="C7" s="249"/>
      <c r="D7" s="249"/>
      <c r="E7" s="303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</row>
    <row r="8" spans="1:31" ht="15.75" x14ac:dyDescent="0.25">
      <c r="A8" s="238"/>
      <c r="B8" s="242"/>
      <c r="C8" s="249"/>
      <c r="D8" s="249"/>
      <c r="E8" s="303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</row>
    <row r="9" spans="1:31" ht="139.5" customHeight="1" x14ac:dyDescent="0.25">
      <c r="A9" s="238"/>
      <c r="B9" s="242"/>
      <c r="C9" s="249"/>
      <c r="D9" s="249"/>
      <c r="E9" s="303"/>
      <c r="F9" s="246"/>
      <c r="G9" s="246"/>
      <c r="H9" s="242"/>
      <c r="I9" s="242"/>
      <c r="J9" s="242"/>
      <c r="K9" s="242"/>
      <c r="L9" s="242"/>
      <c r="M9" s="246"/>
      <c r="N9" s="229" t="s">
        <v>33</v>
      </c>
      <c r="O9" s="229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</row>
    <row r="10" spans="1:31" ht="15.75" x14ac:dyDescent="0.25">
      <c r="A10" s="230">
        <v>1</v>
      </c>
      <c r="B10" s="235">
        <v>2</v>
      </c>
      <c r="C10" s="232">
        <v>3</v>
      </c>
      <c r="D10" s="235">
        <v>4</v>
      </c>
      <c r="E10" s="232"/>
      <c r="F10" s="235">
        <v>6</v>
      </c>
      <c r="G10" s="232">
        <v>7</v>
      </c>
      <c r="H10" s="235">
        <v>8</v>
      </c>
      <c r="I10" s="232">
        <v>9</v>
      </c>
      <c r="J10" s="235">
        <v>10</v>
      </c>
      <c r="K10" s="232">
        <v>11</v>
      </c>
      <c r="L10" s="235">
        <v>12</v>
      </c>
      <c r="M10" s="232">
        <v>13</v>
      </c>
      <c r="N10" s="229">
        <v>14</v>
      </c>
      <c r="O10" s="235">
        <v>15</v>
      </c>
      <c r="P10" s="235">
        <f>O10+1</f>
        <v>16</v>
      </c>
      <c r="Q10" s="235">
        <f t="shared" ref="Q10:AD10" si="0">P10+1</f>
        <v>17</v>
      </c>
      <c r="R10" s="235">
        <f t="shared" si="0"/>
        <v>18</v>
      </c>
      <c r="S10" s="235">
        <f t="shared" si="0"/>
        <v>19</v>
      </c>
      <c r="T10" s="235">
        <f t="shared" si="0"/>
        <v>20</v>
      </c>
      <c r="U10" s="235">
        <f t="shared" si="0"/>
        <v>21</v>
      </c>
      <c r="V10" s="235">
        <f t="shared" si="0"/>
        <v>22</v>
      </c>
      <c r="W10" s="235">
        <f t="shared" si="0"/>
        <v>23</v>
      </c>
      <c r="X10" s="235">
        <f t="shared" si="0"/>
        <v>24</v>
      </c>
      <c r="Y10" s="235">
        <f t="shared" si="0"/>
        <v>25</v>
      </c>
      <c r="Z10" s="235">
        <f t="shared" si="0"/>
        <v>26</v>
      </c>
      <c r="AA10" s="235">
        <f t="shared" si="0"/>
        <v>27</v>
      </c>
      <c r="AB10" s="235">
        <f t="shared" si="0"/>
        <v>28</v>
      </c>
      <c r="AC10" s="235">
        <f t="shared" si="0"/>
        <v>29</v>
      </c>
      <c r="AD10" s="235">
        <f t="shared" si="0"/>
        <v>30</v>
      </c>
      <c r="AE10" s="235">
        <f>AD10+1</f>
        <v>31</v>
      </c>
    </row>
    <row r="11" spans="1:31" ht="25.5" x14ac:dyDescent="0.35">
      <c r="A11" s="305" t="s">
        <v>72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</row>
    <row r="12" spans="1:31" ht="78.75" x14ac:dyDescent="0.25">
      <c r="A12" s="23" t="s">
        <v>54</v>
      </c>
      <c r="B12" s="17" t="s">
        <v>49</v>
      </c>
      <c r="C12" s="17" t="s">
        <v>37</v>
      </c>
      <c r="D12" s="17" t="s">
        <v>45</v>
      </c>
      <c r="E12" s="19">
        <v>1</v>
      </c>
      <c r="F12" s="20">
        <f t="shared" ref="F12" si="1">SUM(G12,M12,Q12,R12,S12,T12,V12,W12,X12,AD12,P12,U12)</f>
        <v>2093.1299999999997</v>
      </c>
      <c r="G12" s="20">
        <f t="shared" ref="G12" si="2">SUM(H12:L12)</f>
        <v>1354.86</v>
      </c>
      <c r="H12" s="20">
        <v>1040.5999999999999</v>
      </c>
      <c r="I12" s="25">
        <v>0</v>
      </c>
      <c r="J12" s="20">
        <v>0</v>
      </c>
      <c r="K12" s="20">
        <f t="shared" ref="K12" si="3">ROUND(H12*0.302,2)</f>
        <v>314.26</v>
      </c>
      <c r="L12" s="20"/>
      <c r="M12" s="25">
        <v>88.35</v>
      </c>
      <c r="N12" s="25">
        <v>0</v>
      </c>
      <c r="O12" s="25">
        <v>88.35</v>
      </c>
      <c r="P12" s="25">
        <v>0</v>
      </c>
      <c r="Q12" s="25">
        <f>85-65.96</f>
        <v>19.040000000000006</v>
      </c>
      <c r="R12" s="20">
        <v>37.979999999999997</v>
      </c>
      <c r="S12" s="25">
        <v>65</v>
      </c>
      <c r="T12" s="20">
        <v>70</v>
      </c>
      <c r="U12" s="20">
        <v>0</v>
      </c>
      <c r="V12" s="25">
        <v>60</v>
      </c>
      <c r="W12" s="20">
        <v>40</v>
      </c>
      <c r="X12" s="20">
        <f t="shared" ref="X12" si="4">SUM(Y12:AC12)</f>
        <v>322.89999999999998</v>
      </c>
      <c r="Y12" s="27">
        <v>248</v>
      </c>
      <c r="Z12" s="25">
        <v>0</v>
      </c>
      <c r="AA12" s="20">
        <v>0</v>
      </c>
      <c r="AB12" s="20">
        <f t="shared" ref="AB12" si="5">ROUND(Y12*0.302,2)</f>
        <v>74.900000000000006</v>
      </c>
      <c r="AC12" s="25">
        <v>0</v>
      </c>
      <c r="AD12" s="25">
        <f>65-30</f>
        <v>35</v>
      </c>
      <c r="AE12" s="20">
        <v>218.8</v>
      </c>
    </row>
    <row r="13" spans="1:31" ht="25.5" x14ac:dyDescent="0.35">
      <c r="A13" s="305" t="s">
        <v>86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</row>
    <row r="14" spans="1:31" ht="78.75" x14ac:dyDescent="0.25">
      <c r="A14" s="23" t="s">
        <v>54</v>
      </c>
      <c r="B14" s="17" t="s">
        <v>49</v>
      </c>
      <c r="C14" s="17" t="s">
        <v>37</v>
      </c>
      <c r="D14" s="17" t="s">
        <v>45</v>
      </c>
      <c r="E14" s="19">
        <v>1</v>
      </c>
      <c r="F14" s="20">
        <f>SUM(G14,M14,Q14,R14,S14,T14,V14,W14,X14,AD14,P14,U14)</f>
        <v>2082.37</v>
      </c>
      <c r="G14" s="20">
        <f t="shared" ref="G14" si="6">SUM(H14:L14)</f>
        <v>1331.13</v>
      </c>
      <c r="H14" s="20">
        <v>1022.37</v>
      </c>
      <c r="I14" s="25">
        <v>0</v>
      </c>
      <c r="J14" s="20">
        <v>0</v>
      </c>
      <c r="K14" s="20">
        <f t="shared" ref="K14" si="7">ROUND(H14*0.302,2)</f>
        <v>308.76</v>
      </c>
      <c r="L14" s="20"/>
      <c r="M14" s="25">
        <v>88.35</v>
      </c>
      <c r="N14" s="25">
        <v>0</v>
      </c>
      <c r="O14" s="25">
        <v>88.35</v>
      </c>
      <c r="P14" s="25">
        <v>0</v>
      </c>
      <c r="Q14" s="25">
        <f>85-13</f>
        <v>72</v>
      </c>
      <c r="R14" s="20">
        <f>90.33-13-42.16</f>
        <v>35.17</v>
      </c>
      <c r="S14" s="25">
        <f>65-13</f>
        <v>52</v>
      </c>
      <c r="T14" s="20">
        <f>70-14.18</f>
        <v>55.82</v>
      </c>
      <c r="U14" s="20">
        <v>0</v>
      </c>
      <c r="V14" s="25">
        <v>60</v>
      </c>
      <c r="W14" s="20">
        <v>40</v>
      </c>
      <c r="X14" s="20">
        <f t="shared" ref="X14" si="8">SUM(Y14:AC14)</f>
        <v>322.89999999999998</v>
      </c>
      <c r="Y14" s="27">
        <v>248</v>
      </c>
      <c r="Z14" s="25">
        <v>0</v>
      </c>
      <c r="AA14" s="20">
        <v>0</v>
      </c>
      <c r="AB14" s="20">
        <f t="shared" ref="AB14" si="9">ROUND(Y14*0.302,2)</f>
        <v>74.900000000000006</v>
      </c>
      <c r="AC14" s="25">
        <v>0</v>
      </c>
      <c r="AD14" s="25">
        <f>65-40</f>
        <v>25</v>
      </c>
      <c r="AE14" s="25">
        <v>218.8</v>
      </c>
    </row>
    <row r="15" spans="1:31" ht="25.5" x14ac:dyDescent="0.35">
      <c r="A15" s="305" t="s">
        <v>154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</row>
    <row r="16" spans="1:31" ht="78.75" x14ac:dyDescent="0.25">
      <c r="A16" s="236" t="s">
        <v>54</v>
      </c>
      <c r="B16" s="235" t="s">
        <v>49</v>
      </c>
      <c r="C16" s="235" t="s">
        <v>37</v>
      </c>
      <c r="D16" s="235" t="s">
        <v>45</v>
      </c>
      <c r="E16" s="19">
        <v>1</v>
      </c>
      <c r="F16" s="20">
        <f t="shared" ref="F16" si="10">SUM(G16,M16,Q16,R16,S16,T16,V16,W16,X16,AD16,P16,U16)</f>
        <v>2082.37</v>
      </c>
      <c r="G16" s="20">
        <f t="shared" ref="G16" si="11">SUM(H16:L16)</f>
        <v>1341.02</v>
      </c>
      <c r="H16" s="20">
        <v>1029.97</v>
      </c>
      <c r="I16" s="25">
        <v>0</v>
      </c>
      <c r="J16" s="20">
        <v>0</v>
      </c>
      <c r="K16" s="20">
        <f t="shared" ref="K16" si="12">ROUND(H16*0.302,2)</f>
        <v>311.05</v>
      </c>
      <c r="L16" s="20"/>
      <c r="M16" s="25">
        <v>88.35</v>
      </c>
      <c r="N16" s="25">
        <v>0</v>
      </c>
      <c r="O16" s="25">
        <v>88.35</v>
      </c>
      <c r="P16" s="25">
        <v>0</v>
      </c>
      <c r="Q16" s="25">
        <f>85-25-15.04</f>
        <v>44.96</v>
      </c>
      <c r="R16" s="20">
        <f>90.33-25-25</f>
        <v>40.33</v>
      </c>
      <c r="S16" s="25">
        <f>65-25</f>
        <v>40</v>
      </c>
      <c r="T16" s="20">
        <f>70-18.19-12</f>
        <v>39.81</v>
      </c>
      <c r="U16" s="20">
        <v>0</v>
      </c>
      <c r="V16" s="25">
        <v>60</v>
      </c>
      <c r="W16" s="20">
        <v>40</v>
      </c>
      <c r="X16" s="20">
        <f t="shared" ref="X16" si="13">SUM(Y16:AC16)</f>
        <v>322.89999999999998</v>
      </c>
      <c r="Y16" s="27">
        <v>248</v>
      </c>
      <c r="Z16" s="25">
        <v>0</v>
      </c>
      <c r="AA16" s="20">
        <v>0</v>
      </c>
      <c r="AB16" s="20">
        <f t="shared" ref="AB16" si="14">ROUND(Y16*0.302,2)</f>
        <v>74.900000000000006</v>
      </c>
      <c r="AC16" s="25">
        <v>0</v>
      </c>
      <c r="AD16" s="25">
        <v>65</v>
      </c>
      <c r="AE16" s="25">
        <v>218.8</v>
      </c>
    </row>
  </sheetData>
  <mergeCells count="42">
    <mergeCell ref="A1:AE1"/>
    <mergeCell ref="A11:AE1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R5:R9"/>
    <mergeCell ref="S5:S9"/>
    <mergeCell ref="V5:V9"/>
    <mergeCell ref="W5:W9"/>
    <mergeCell ref="X5:AC5"/>
    <mergeCell ref="AD5:AD9"/>
    <mergeCell ref="Z7:Z9"/>
    <mergeCell ref="AA7:AA9"/>
    <mergeCell ref="AB7:AB9"/>
    <mergeCell ref="AC7:AC9"/>
    <mergeCell ref="M8:M9"/>
    <mergeCell ref="N8:O8"/>
    <mergeCell ref="A13:AE13"/>
    <mergeCell ref="A15:AE15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</mergeCells>
  <pageMargins left="0.25" right="0.25" top="0.75" bottom="0.75" header="0.3" footer="0.3"/>
  <pageSetup paperSize="9" scale="23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"/>
  <sheetViews>
    <sheetView view="pageBreakPreview" zoomScale="60" zoomScaleNormal="55" workbookViewId="0">
      <selection activeCell="F32" sqref="A1:XFD1048576"/>
    </sheetView>
  </sheetViews>
  <sheetFormatPr defaultRowHeight="15" x14ac:dyDescent="0.25"/>
  <cols>
    <col min="1" max="1" width="30.71093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1.570312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6.710937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42578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53.25" customHeight="1" x14ac:dyDescent="0.25">
      <c r="A1" s="304" t="s">
        <v>171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</row>
    <row r="3" spans="1:31" ht="15.75" customHeight="1" x14ac:dyDescent="0.25">
      <c r="A3" s="247" t="s">
        <v>0</v>
      </c>
      <c r="B3" s="243" t="s">
        <v>1</v>
      </c>
      <c r="C3" s="248" t="s">
        <v>2</v>
      </c>
      <c r="D3" s="248"/>
      <c r="E3" s="231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5</v>
      </c>
    </row>
    <row r="4" spans="1:31" ht="15.75" x14ac:dyDescent="0.25">
      <c r="A4" s="238"/>
      <c r="B4" s="242"/>
      <c r="C4" s="249" t="s">
        <v>7</v>
      </c>
      <c r="D4" s="249" t="s">
        <v>8</v>
      </c>
      <c r="E4" s="303" t="s">
        <v>144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</row>
    <row r="5" spans="1:31" ht="15.75" x14ac:dyDescent="0.25">
      <c r="A5" s="238"/>
      <c r="B5" s="242"/>
      <c r="C5" s="249"/>
      <c r="D5" s="249"/>
      <c r="E5" s="303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</row>
    <row r="6" spans="1:31" ht="15.75" x14ac:dyDescent="0.25">
      <c r="A6" s="238"/>
      <c r="B6" s="242"/>
      <c r="C6" s="249"/>
      <c r="D6" s="249"/>
      <c r="E6" s="303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</row>
    <row r="7" spans="1:31" ht="60.75" customHeight="1" x14ac:dyDescent="0.25">
      <c r="A7" s="238"/>
      <c r="B7" s="242"/>
      <c r="C7" s="249"/>
      <c r="D7" s="249"/>
      <c r="E7" s="303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</row>
    <row r="8" spans="1:31" ht="15.75" x14ac:dyDescent="0.25">
      <c r="A8" s="238"/>
      <c r="B8" s="242"/>
      <c r="C8" s="249"/>
      <c r="D8" s="249"/>
      <c r="E8" s="303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</row>
    <row r="9" spans="1:31" ht="139.5" customHeight="1" x14ac:dyDescent="0.25">
      <c r="A9" s="238"/>
      <c r="B9" s="242"/>
      <c r="C9" s="249"/>
      <c r="D9" s="249"/>
      <c r="E9" s="303"/>
      <c r="F9" s="246"/>
      <c r="G9" s="246"/>
      <c r="H9" s="242"/>
      <c r="I9" s="242"/>
      <c r="J9" s="242"/>
      <c r="K9" s="242"/>
      <c r="L9" s="242"/>
      <c r="M9" s="246"/>
      <c r="N9" s="229" t="s">
        <v>33</v>
      </c>
      <c r="O9" s="229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</row>
    <row r="10" spans="1:31" ht="15.75" x14ac:dyDescent="0.25">
      <c r="A10" s="230">
        <v>1</v>
      </c>
      <c r="B10" s="235">
        <v>2</v>
      </c>
      <c r="C10" s="232">
        <v>3</v>
      </c>
      <c r="D10" s="235">
        <v>4</v>
      </c>
      <c r="E10" s="232"/>
      <c r="F10" s="235">
        <v>6</v>
      </c>
      <c r="G10" s="232">
        <v>7</v>
      </c>
      <c r="H10" s="235">
        <v>8</v>
      </c>
      <c r="I10" s="232">
        <v>9</v>
      </c>
      <c r="J10" s="235">
        <v>10</v>
      </c>
      <c r="K10" s="232">
        <v>11</v>
      </c>
      <c r="L10" s="235">
        <v>12</v>
      </c>
      <c r="M10" s="232">
        <v>13</v>
      </c>
      <c r="N10" s="229">
        <v>14</v>
      </c>
      <c r="O10" s="235">
        <v>15</v>
      </c>
      <c r="P10" s="235">
        <f>O10+1</f>
        <v>16</v>
      </c>
      <c r="Q10" s="235">
        <f t="shared" ref="Q10:AD10" si="0">P10+1</f>
        <v>17</v>
      </c>
      <c r="R10" s="235">
        <f t="shared" si="0"/>
        <v>18</v>
      </c>
      <c r="S10" s="235">
        <f t="shared" si="0"/>
        <v>19</v>
      </c>
      <c r="T10" s="235">
        <f t="shared" si="0"/>
        <v>20</v>
      </c>
      <c r="U10" s="235">
        <f t="shared" si="0"/>
        <v>21</v>
      </c>
      <c r="V10" s="235">
        <f t="shared" si="0"/>
        <v>22</v>
      </c>
      <c r="W10" s="235">
        <f t="shared" si="0"/>
        <v>23</v>
      </c>
      <c r="X10" s="235">
        <f t="shared" si="0"/>
        <v>24</v>
      </c>
      <c r="Y10" s="235">
        <f t="shared" si="0"/>
        <v>25</v>
      </c>
      <c r="Z10" s="235">
        <f t="shared" si="0"/>
        <v>26</v>
      </c>
      <c r="AA10" s="235">
        <f t="shared" si="0"/>
        <v>27</v>
      </c>
      <c r="AB10" s="235">
        <f t="shared" si="0"/>
        <v>28</v>
      </c>
      <c r="AC10" s="235">
        <f t="shared" si="0"/>
        <v>29</v>
      </c>
      <c r="AD10" s="235">
        <f t="shared" si="0"/>
        <v>30</v>
      </c>
      <c r="AE10" s="235">
        <f>AD10+1</f>
        <v>31</v>
      </c>
    </row>
    <row r="11" spans="1:31" ht="25.5" x14ac:dyDescent="0.35">
      <c r="A11" s="305" t="s">
        <v>72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</row>
    <row r="12" spans="1:31" ht="78.75" x14ac:dyDescent="0.25">
      <c r="A12" s="23" t="s">
        <v>55</v>
      </c>
      <c r="B12" s="17" t="s">
        <v>49</v>
      </c>
      <c r="C12" s="17" t="s">
        <v>37</v>
      </c>
      <c r="D12" s="18" t="s">
        <v>53</v>
      </c>
      <c r="E12" s="19">
        <v>1</v>
      </c>
      <c r="F12" s="20">
        <f>SUM(G12,M12,Q12,R12,S12,T12,V12,W12,X12,AD12,P12,U12)</f>
        <v>3370.62</v>
      </c>
      <c r="G12" s="20">
        <f t="shared" ref="G12:G13" si="1">SUM(H12:L12)</f>
        <v>1485.58</v>
      </c>
      <c r="H12" s="20">
        <v>1141</v>
      </c>
      <c r="I12" s="25">
        <v>0</v>
      </c>
      <c r="J12" s="20">
        <v>0</v>
      </c>
      <c r="K12" s="20">
        <f t="shared" ref="K12:K13" si="2">ROUND(H12*0.302,2)</f>
        <v>344.58</v>
      </c>
      <c r="L12" s="20"/>
      <c r="M12" s="25">
        <v>369.99</v>
      </c>
      <c r="N12" s="25">
        <v>0</v>
      </c>
      <c r="O12" s="25">
        <v>101.69</v>
      </c>
      <c r="P12" s="25">
        <v>0</v>
      </c>
      <c r="Q12" s="25">
        <f>138.42-59.82</f>
        <v>78.599999999999994</v>
      </c>
      <c r="R12" s="20">
        <v>126.87</v>
      </c>
      <c r="S12" s="25">
        <v>80.8</v>
      </c>
      <c r="T12" s="20">
        <v>38.47</v>
      </c>
      <c r="U12" s="20">
        <v>0</v>
      </c>
      <c r="V12" s="25">
        <v>13.79</v>
      </c>
      <c r="W12" s="20">
        <v>0</v>
      </c>
      <c r="X12" s="20">
        <f>SUM(Y12:AC12)</f>
        <v>968.71</v>
      </c>
      <c r="Y12" s="27">
        <f>732.2+11.82</f>
        <v>744.0200000000001</v>
      </c>
      <c r="Z12" s="25">
        <v>0</v>
      </c>
      <c r="AA12" s="20">
        <v>0</v>
      </c>
      <c r="AB12" s="20">
        <f t="shared" ref="AB12:AB13" si="3">ROUND(Y12*0.302,2)</f>
        <v>224.69</v>
      </c>
      <c r="AC12" s="25">
        <v>0</v>
      </c>
      <c r="AD12" s="25">
        <f>150.53+57.28</f>
        <v>207.81</v>
      </c>
      <c r="AE12" s="20">
        <v>71.900000000000006</v>
      </c>
    </row>
    <row r="13" spans="1:31" ht="63" x14ac:dyDescent="0.25">
      <c r="A13" s="23" t="s">
        <v>55</v>
      </c>
      <c r="B13" s="17" t="s">
        <v>50</v>
      </c>
      <c r="C13" s="17" t="s">
        <v>40</v>
      </c>
      <c r="D13" s="18" t="s">
        <v>45</v>
      </c>
      <c r="E13" s="19">
        <v>1</v>
      </c>
      <c r="F13" s="20">
        <f t="shared" ref="F13" si="4">SUM(G13,M13,Q13,R13,S13,T13,V13,W13,X13,AD13,P13,U13)</f>
        <v>27042.640000000003</v>
      </c>
      <c r="G13" s="20">
        <f t="shared" si="1"/>
        <v>21518.670000000002</v>
      </c>
      <c r="H13" s="20">
        <v>16527.400000000001</v>
      </c>
      <c r="I13" s="25">
        <v>0</v>
      </c>
      <c r="J13" s="20">
        <v>0</v>
      </c>
      <c r="K13" s="20">
        <f t="shared" si="2"/>
        <v>4991.2700000000004</v>
      </c>
      <c r="L13" s="20"/>
      <c r="M13" s="25">
        <v>625</v>
      </c>
      <c r="N13" s="25">
        <v>0</v>
      </c>
      <c r="O13" s="25">
        <v>0</v>
      </c>
      <c r="P13" s="25">
        <v>0</v>
      </c>
      <c r="Q13" s="25">
        <v>0</v>
      </c>
      <c r="R13" s="20">
        <v>189.89</v>
      </c>
      <c r="S13" s="25">
        <v>380.72</v>
      </c>
      <c r="T13" s="20">
        <v>362.5</v>
      </c>
      <c r="U13" s="20">
        <v>0</v>
      </c>
      <c r="V13" s="25">
        <v>311.39999999999998</v>
      </c>
      <c r="W13" s="20">
        <v>0</v>
      </c>
      <c r="X13" s="20">
        <f>SUM(Y13:AC13)</f>
        <v>350</v>
      </c>
      <c r="Y13" s="27">
        <f>0+268.82</f>
        <v>268.82</v>
      </c>
      <c r="Z13" s="25">
        <v>0</v>
      </c>
      <c r="AA13" s="20">
        <v>0</v>
      </c>
      <c r="AB13" s="20">
        <f t="shared" si="3"/>
        <v>81.180000000000007</v>
      </c>
      <c r="AC13" s="25">
        <v>0</v>
      </c>
      <c r="AD13" s="25">
        <v>3304.46</v>
      </c>
      <c r="AE13" s="25">
        <v>0</v>
      </c>
    </row>
    <row r="14" spans="1:31" ht="25.5" x14ac:dyDescent="0.35">
      <c r="A14" s="305" t="s">
        <v>86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</row>
    <row r="15" spans="1:31" ht="78.75" x14ac:dyDescent="0.25">
      <c r="A15" s="23" t="s">
        <v>55</v>
      </c>
      <c r="B15" s="17" t="s">
        <v>49</v>
      </c>
      <c r="C15" s="17" t="s">
        <v>37</v>
      </c>
      <c r="D15" s="18" t="s">
        <v>53</v>
      </c>
      <c r="E15" s="19">
        <v>1</v>
      </c>
      <c r="F15" s="20">
        <f t="shared" ref="F15:F16" si="5">SUM(G15,M15,Q15,R15,S15,T15,V15,W15,X15,AD15,P15,U15)</f>
        <v>3468.6599999999994</v>
      </c>
      <c r="G15" s="20">
        <f t="shared" ref="G15:G16" si="6">SUM(H15:L15)</f>
        <v>1513.08</v>
      </c>
      <c r="H15" s="20">
        <v>1162.1199999999999</v>
      </c>
      <c r="I15" s="25">
        <v>0</v>
      </c>
      <c r="J15" s="20">
        <v>0</v>
      </c>
      <c r="K15" s="20">
        <f t="shared" ref="K15:K16" si="7">ROUND(H15*0.302,2)</f>
        <v>350.96</v>
      </c>
      <c r="L15" s="20"/>
      <c r="M15" s="25">
        <v>369.99</v>
      </c>
      <c r="N15" s="25">
        <v>0</v>
      </c>
      <c r="O15" s="25">
        <v>101.69</v>
      </c>
      <c r="P15" s="25">
        <v>0</v>
      </c>
      <c r="Q15" s="25">
        <f>163.84-49.34</f>
        <v>114.5</v>
      </c>
      <c r="R15" s="20">
        <v>123.21</v>
      </c>
      <c r="S15" s="25">
        <v>80.8</v>
      </c>
      <c r="T15" s="20">
        <v>38.47</v>
      </c>
      <c r="U15" s="20">
        <v>0</v>
      </c>
      <c r="V15" s="25">
        <v>13.79</v>
      </c>
      <c r="W15" s="20">
        <v>0</v>
      </c>
      <c r="X15" s="20">
        <f t="shared" ref="X15:X16" si="8">SUM(Y15:AC15)</f>
        <v>1006.85</v>
      </c>
      <c r="Y15" s="27">
        <f>761.49+11.82</f>
        <v>773.31000000000006</v>
      </c>
      <c r="Z15" s="25">
        <v>0</v>
      </c>
      <c r="AA15" s="20">
        <v>0</v>
      </c>
      <c r="AB15" s="20">
        <f t="shared" ref="AB15:AB16" si="9">ROUND(Y15*0.302,2)</f>
        <v>233.54</v>
      </c>
      <c r="AC15" s="25">
        <v>0</v>
      </c>
      <c r="AD15" s="25">
        <f>150.53+57.44</f>
        <v>207.97</v>
      </c>
      <c r="AE15" s="25">
        <v>71.900000000000006</v>
      </c>
    </row>
    <row r="16" spans="1:31" ht="63" x14ac:dyDescent="0.25">
      <c r="A16" s="23" t="s">
        <v>55</v>
      </c>
      <c r="B16" s="17" t="s">
        <v>50</v>
      </c>
      <c r="C16" s="17" t="s">
        <v>40</v>
      </c>
      <c r="D16" s="18" t="s">
        <v>45</v>
      </c>
      <c r="E16" s="19">
        <v>1</v>
      </c>
      <c r="F16" s="20">
        <f t="shared" si="5"/>
        <v>27863.45</v>
      </c>
      <c r="G16" s="20">
        <f t="shared" si="6"/>
        <v>22024.15</v>
      </c>
      <c r="H16" s="20">
        <v>16915.63</v>
      </c>
      <c r="I16" s="25">
        <v>0</v>
      </c>
      <c r="J16" s="20">
        <v>0</v>
      </c>
      <c r="K16" s="20">
        <f t="shared" si="7"/>
        <v>5108.5200000000004</v>
      </c>
      <c r="L16" s="20"/>
      <c r="M16" s="25">
        <v>625</v>
      </c>
      <c r="N16" s="25">
        <v>0</v>
      </c>
      <c r="O16" s="25">
        <v>0</v>
      </c>
      <c r="P16" s="25">
        <v>0</v>
      </c>
      <c r="Q16" s="25">
        <v>0</v>
      </c>
      <c r="R16" s="20">
        <v>184.42</v>
      </c>
      <c r="S16" s="25">
        <v>380.73</v>
      </c>
      <c r="T16" s="20">
        <v>562.5</v>
      </c>
      <c r="U16" s="20">
        <v>0</v>
      </c>
      <c r="V16" s="25">
        <v>311.39999999999998</v>
      </c>
      <c r="W16" s="20">
        <v>0</v>
      </c>
      <c r="X16" s="20">
        <f t="shared" si="8"/>
        <v>350</v>
      </c>
      <c r="Y16" s="27">
        <f>0+268.82</f>
        <v>268.82</v>
      </c>
      <c r="Z16" s="25">
        <v>0</v>
      </c>
      <c r="AA16" s="20">
        <v>0</v>
      </c>
      <c r="AB16" s="20">
        <f t="shared" si="9"/>
        <v>81.180000000000007</v>
      </c>
      <c r="AC16" s="25">
        <v>0</v>
      </c>
      <c r="AD16" s="25">
        <v>3425.25</v>
      </c>
      <c r="AE16" s="25">
        <v>0</v>
      </c>
    </row>
    <row r="17" spans="1:31" ht="25.5" x14ac:dyDescent="0.35">
      <c r="A17" s="305" t="s">
        <v>154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</row>
    <row r="18" spans="1:31" ht="78.75" x14ac:dyDescent="0.25">
      <c r="A18" s="236" t="s">
        <v>55</v>
      </c>
      <c r="B18" s="17" t="s">
        <v>49</v>
      </c>
      <c r="C18" s="235" t="s">
        <v>37</v>
      </c>
      <c r="D18" s="232" t="s">
        <v>53</v>
      </c>
      <c r="E18" s="19">
        <v>1</v>
      </c>
      <c r="F18" s="20">
        <f t="shared" ref="F18:F19" si="10">SUM(G18,M18,Q18,R18,S18,T18,V18,W18,X18,AD18,P18,U18)</f>
        <v>3468.3999999999992</v>
      </c>
      <c r="G18" s="20">
        <f t="shared" ref="G18:G19" si="11">SUM(H18:L18)</f>
        <v>1524.32</v>
      </c>
      <c r="H18" s="20">
        <v>1170.75</v>
      </c>
      <c r="I18" s="25">
        <v>0</v>
      </c>
      <c r="J18" s="20">
        <v>0</v>
      </c>
      <c r="K18" s="20">
        <f t="shared" ref="K18:K19" si="12">ROUND(H18*0.302,2)</f>
        <v>353.57</v>
      </c>
      <c r="L18" s="20"/>
      <c r="M18" s="25">
        <f>369.99-60.84</f>
        <v>309.14999999999998</v>
      </c>
      <c r="N18" s="25">
        <v>0</v>
      </c>
      <c r="O18" s="25">
        <v>101.69</v>
      </c>
      <c r="P18" s="25">
        <v>0</v>
      </c>
      <c r="Q18" s="25">
        <v>163.84</v>
      </c>
      <c r="R18" s="20">
        <v>123.21</v>
      </c>
      <c r="S18" s="25">
        <v>80.8</v>
      </c>
      <c r="T18" s="20">
        <v>38.47</v>
      </c>
      <c r="U18" s="20">
        <v>0</v>
      </c>
      <c r="V18" s="25">
        <v>13.79</v>
      </c>
      <c r="W18" s="20">
        <v>0</v>
      </c>
      <c r="X18" s="20">
        <f t="shared" ref="X18:X19" si="13">SUM(Y18:AC18)</f>
        <v>1006.85</v>
      </c>
      <c r="Y18" s="27">
        <f>761.49+11.82</f>
        <v>773.31000000000006</v>
      </c>
      <c r="Z18" s="25">
        <v>0</v>
      </c>
      <c r="AA18" s="20">
        <v>0</v>
      </c>
      <c r="AB18" s="20">
        <f t="shared" ref="AB18:AB19" si="14">ROUND(Y18*0.302,2)</f>
        <v>233.54</v>
      </c>
      <c r="AC18" s="25">
        <v>0</v>
      </c>
      <c r="AD18" s="25">
        <f>150.53+57.44</f>
        <v>207.97</v>
      </c>
      <c r="AE18" s="25">
        <v>71.900000000000006</v>
      </c>
    </row>
    <row r="19" spans="1:31" ht="63" x14ac:dyDescent="0.25">
      <c r="A19" s="236" t="s">
        <v>55</v>
      </c>
      <c r="B19" s="17" t="s">
        <v>50</v>
      </c>
      <c r="C19" s="235" t="s">
        <v>40</v>
      </c>
      <c r="D19" s="232" t="s">
        <v>45</v>
      </c>
      <c r="E19" s="19">
        <v>1</v>
      </c>
      <c r="F19" s="20">
        <f t="shared" si="10"/>
        <v>28027.03</v>
      </c>
      <c r="G19" s="20">
        <f t="shared" si="11"/>
        <v>22187.73</v>
      </c>
      <c r="H19" s="20">
        <v>17041.27</v>
      </c>
      <c r="I19" s="25">
        <v>0</v>
      </c>
      <c r="J19" s="20">
        <v>0</v>
      </c>
      <c r="K19" s="20">
        <f t="shared" si="12"/>
        <v>5146.46</v>
      </c>
      <c r="L19" s="20"/>
      <c r="M19" s="25">
        <v>625</v>
      </c>
      <c r="N19" s="25">
        <v>0</v>
      </c>
      <c r="O19" s="25">
        <v>0</v>
      </c>
      <c r="P19" s="25">
        <v>0</v>
      </c>
      <c r="Q19" s="25">
        <v>0</v>
      </c>
      <c r="R19" s="20">
        <v>184.42</v>
      </c>
      <c r="S19" s="25">
        <v>380.73</v>
      </c>
      <c r="T19" s="20">
        <v>562.5</v>
      </c>
      <c r="U19" s="20">
        <v>0</v>
      </c>
      <c r="V19" s="25">
        <v>311.39999999999998</v>
      </c>
      <c r="W19" s="20">
        <v>0</v>
      </c>
      <c r="X19" s="20">
        <f t="shared" si="13"/>
        <v>350</v>
      </c>
      <c r="Y19" s="27">
        <f>0+268.82</f>
        <v>268.82</v>
      </c>
      <c r="Z19" s="25">
        <v>0</v>
      </c>
      <c r="AA19" s="20">
        <v>0</v>
      </c>
      <c r="AB19" s="20">
        <f t="shared" si="14"/>
        <v>81.180000000000007</v>
      </c>
      <c r="AC19" s="25">
        <v>0</v>
      </c>
      <c r="AD19" s="25">
        <v>3425.25</v>
      </c>
      <c r="AE19" s="25">
        <v>0</v>
      </c>
    </row>
    <row r="21" spans="1:31" ht="79.5" customHeight="1" x14ac:dyDescent="0.25">
      <c r="A21" s="304" t="s">
        <v>172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</row>
    <row r="23" spans="1:31" ht="15.75" x14ac:dyDescent="0.25">
      <c r="A23" s="238" t="s">
        <v>0</v>
      </c>
      <c r="B23" s="242" t="s">
        <v>1</v>
      </c>
      <c r="C23" s="303" t="s">
        <v>2</v>
      </c>
      <c r="D23" s="303"/>
      <c r="E23" s="303"/>
      <c r="F23" s="242" t="s">
        <v>3</v>
      </c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</row>
    <row r="24" spans="1:31" ht="15.75" x14ac:dyDescent="0.25">
      <c r="A24" s="238"/>
      <c r="B24" s="242"/>
      <c r="C24" s="249" t="s">
        <v>7</v>
      </c>
      <c r="D24" s="249" t="s">
        <v>8</v>
      </c>
      <c r="E24" s="303" t="s">
        <v>144</v>
      </c>
      <c r="F24" s="246" t="s">
        <v>10</v>
      </c>
      <c r="G24" s="250" t="s">
        <v>11</v>
      </c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</row>
    <row r="25" spans="1:31" ht="15.75" x14ac:dyDescent="0.25">
      <c r="A25" s="238"/>
      <c r="B25" s="242"/>
      <c r="C25" s="249"/>
      <c r="D25" s="249"/>
      <c r="E25" s="303"/>
      <c r="F25" s="246"/>
      <c r="G25" s="242" t="s">
        <v>12</v>
      </c>
      <c r="H25" s="242"/>
      <c r="I25" s="242"/>
      <c r="J25" s="242"/>
      <c r="K25" s="242"/>
      <c r="L25" s="242"/>
      <c r="M25" s="242" t="s">
        <v>13</v>
      </c>
      <c r="N25" s="242"/>
      <c r="O25" s="242"/>
      <c r="P25" s="242" t="s">
        <v>14</v>
      </c>
      <c r="Q25" s="242" t="s">
        <v>15</v>
      </c>
      <c r="R25" s="242" t="s">
        <v>16</v>
      </c>
      <c r="S25" s="242" t="s">
        <v>17</v>
      </c>
      <c r="T25" s="242" t="s">
        <v>18</v>
      </c>
      <c r="U25" s="242" t="s">
        <v>19</v>
      </c>
      <c r="V25" s="242" t="s">
        <v>20</v>
      </c>
      <c r="W25" s="242" t="s">
        <v>21</v>
      </c>
      <c r="X25" s="242" t="s">
        <v>22</v>
      </c>
      <c r="Y25" s="242"/>
      <c r="Z25" s="242"/>
      <c r="AA25" s="242"/>
      <c r="AB25" s="242"/>
      <c r="AC25" s="242"/>
      <c r="AD25" s="242" t="s">
        <v>23</v>
      </c>
    </row>
    <row r="26" spans="1:31" ht="15.75" x14ac:dyDescent="0.25">
      <c r="A26" s="238"/>
      <c r="B26" s="242"/>
      <c r="C26" s="249"/>
      <c r="D26" s="249"/>
      <c r="E26" s="303"/>
      <c r="F26" s="246"/>
      <c r="G26" s="246" t="s">
        <v>24</v>
      </c>
      <c r="H26" s="242" t="s">
        <v>11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6" t="s">
        <v>25</v>
      </c>
      <c r="Y26" s="242" t="s">
        <v>11</v>
      </c>
      <c r="Z26" s="242"/>
      <c r="AA26" s="242"/>
      <c r="AB26" s="242"/>
      <c r="AC26" s="242"/>
      <c r="AD26" s="242"/>
    </row>
    <row r="27" spans="1:31" ht="71.25" customHeight="1" x14ac:dyDescent="0.25">
      <c r="A27" s="238"/>
      <c r="B27" s="242"/>
      <c r="C27" s="249"/>
      <c r="D27" s="249"/>
      <c r="E27" s="303"/>
      <c r="F27" s="246"/>
      <c r="G27" s="246"/>
      <c r="H27" s="242" t="s">
        <v>26</v>
      </c>
      <c r="I27" s="242" t="s">
        <v>27</v>
      </c>
      <c r="J27" s="242" t="s">
        <v>28</v>
      </c>
      <c r="K27" s="242" t="s">
        <v>29</v>
      </c>
      <c r="L27" s="242" t="s">
        <v>30</v>
      </c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6"/>
      <c r="Y27" s="242" t="s">
        <v>26</v>
      </c>
      <c r="Z27" s="242" t="s">
        <v>27</v>
      </c>
      <c r="AA27" s="242" t="s">
        <v>28</v>
      </c>
      <c r="AB27" s="242" t="s">
        <v>29</v>
      </c>
      <c r="AC27" s="242" t="s">
        <v>30</v>
      </c>
      <c r="AD27" s="242"/>
    </row>
    <row r="28" spans="1:31" ht="15.75" x14ac:dyDescent="0.25">
      <c r="A28" s="238"/>
      <c r="B28" s="242"/>
      <c r="C28" s="249"/>
      <c r="D28" s="249"/>
      <c r="E28" s="303"/>
      <c r="F28" s="246"/>
      <c r="G28" s="246"/>
      <c r="H28" s="242"/>
      <c r="I28" s="242"/>
      <c r="J28" s="242"/>
      <c r="K28" s="242"/>
      <c r="L28" s="242"/>
      <c r="M28" s="246" t="s">
        <v>31</v>
      </c>
      <c r="N28" s="242" t="s">
        <v>32</v>
      </c>
      <c r="O28" s="242"/>
      <c r="P28" s="242"/>
      <c r="Q28" s="242"/>
      <c r="R28" s="242"/>
      <c r="S28" s="242"/>
      <c r="T28" s="242"/>
      <c r="U28" s="242"/>
      <c r="V28" s="242"/>
      <c r="W28" s="242"/>
      <c r="X28" s="246"/>
      <c r="Y28" s="242"/>
      <c r="Z28" s="242"/>
      <c r="AA28" s="242"/>
      <c r="AB28" s="242"/>
      <c r="AC28" s="242"/>
      <c r="AD28" s="242"/>
    </row>
    <row r="29" spans="1:31" ht="94.5" x14ac:dyDescent="0.25">
      <c r="A29" s="238"/>
      <c r="B29" s="242"/>
      <c r="C29" s="249"/>
      <c r="D29" s="249"/>
      <c r="E29" s="303"/>
      <c r="F29" s="246"/>
      <c r="G29" s="246"/>
      <c r="H29" s="242"/>
      <c r="I29" s="242"/>
      <c r="J29" s="242"/>
      <c r="K29" s="242"/>
      <c r="L29" s="242"/>
      <c r="M29" s="246"/>
      <c r="N29" s="229" t="s">
        <v>33</v>
      </c>
      <c r="O29" s="229" t="s">
        <v>34</v>
      </c>
      <c r="P29" s="242"/>
      <c r="Q29" s="242"/>
      <c r="R29" s="242"/>
      <c r="S29" s="242"/>
      <c r="T29" s="242"/>
      <c r="U29" s="242"/>
      <c r="V29" s="242"/>
      <c r="W29" s="242"/>
      <c r="X29" s="246"/>
      <c r="Y29" s="242"/>
      <c r="Z29" s="242"/>
      <c r="AA29" s="242"/>
      <c r="AB29" s="242"/>
      <c r="AC29" s="242"/>
      <c r="AD29" s="242"/>
    </row>
    <row r="30" spans="1:31" ht="15.75" x14ac:dyDescent="0.25">
      <c r="A30" s="230">
        <v>1</v>
      </c>
      <c r="B30" s="235">
        <v>2</v>
      </c>
      <c r="C30" s="232">
        <v>3</v>
      </c>
      <c r="D30" s="235">
        <v>4</v>
      </c>
      <c r="E30" s="232">
        <v>5</v>
      </c>
      <c r="F30" s="235">
        <v>6</v>
      </c>
      <c r="G30" s="232">
        <v>7</v>
      </c>
      <c r="H30" s="235">
        <v>8</v>
      </c>
      <c r="I30" s="232">
        <v>9</v>
      </c>
      <c r="J30" s="235">
        <v>10</v>
      </c>
      <c r="K30" s="232">
        <v>11</v>
      </c>
      <c r="L30" s="235">
        <v>12</v>
      </c>
      <c r="M30" s="232">
        <v>13</v>
      </c>
      <c r="N30" s="235">
        <v>14</v>
      </c>
      <c r="O30" s="232">
        <v>15</v>
      </c>
      <c r="P30" s="235">
        <v>16</v>
      </c>
      <c r="Q30" s="232">
        <v>17</v>
      </c>
      <c r="R30" s="235">
        <v>18</v>
      </c>
      <c r="S30" s="232">
        <v>19</v>
      </c>
      <c r="T30" s="235">
        <v>20</v>
      </c>
      <c r="U30" s="232">
        <v>21</v>
      </c>
      <c r="V30" s="235">
        <v>22</v>
      </c>
      <c r="W30" s="232">
        <v>23</v>
      </c>
      <c r="X30" s="235">
        <v>24</v>
      </c>
      <c r="Y30" s="232">
        <v>25</v>
      </c>
      <c r="Z30" s="235">
        <v>26</v>
      </c>
      <c r="AA30" s="232">
        <v>27</v>
      </c>
      <c r="AB30" s="235">
        <v>28</v>
      </c>
      <c r="AC30" s="232">
        <v>29</v>
      </c>
      <c r="AD30" s="235">
        <v>30</v>
      </c>
    </row>
    <row r="31" spans="1:31" ht="25.5" x14ac:dyDescent="0.35">
      <c r="A31" s="305" t="s">
        <v>72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</row>
    <row r="32" spans="1:31" ht="56.25" customHeight="1" x14ac:dyDescent="0.25">
      <c r="A32" s="222" t="s">
        <v>174</v>
      </c>
      <c r="B32" s="17" t="s">
        <v>142</v>
      </c>
      <c r="C32" s="17" t="s">
        <v>143</v>
      </c>
      <c r="D32" s="29" t="s">
        <v>45</v>
      </c>
      <c r="E32" s="223">
        <v>1</v>
      </c>
      <c r="F32" s="20">
        <f t="shared" ref="F32" si="15">SUM(G32,M32,Q32,R32,S32,T32,V32,W32,X32,AD32,P32,U32)</f>
        <v>2926132.9600000004</v>
      </c>
      <c r="G32" s="20">
        <f t="shared" ref="G32" si="16">SUM(H32:L32)</f>
        <v>1882952.4500000002</v>
      </c>
      <c r="H32" s="22">
        <v>1446199.2700000003</v>
      </c>
      <c r="I32" s="25">
        <v>0</v>
      </c>
      <c r="J32" s="20">
        <v>0</v>
      </c>
      <c r="K32" s="20">
        <f t="shared" ref="K32" si="17">ROUND(H32*0.302,2)</f>
        <v>436752.18</v>
      </c>
      <c r="L32" s="20">
        <v>1</v>
      </c>
      <c r="M32" s="20">
        <v>376217.8</v>
      </c>
      <c r="N32" s="20">
        <v>149094.70000000001</v>
      </c>
      <c r="O32" s="20">
        <v>29294.2</v>
      </c>
      <c r="P32" s="20">
        <v>0</v>
      </c>
      <c r="Q32" s="20">
        <v>99565.2</v>
      </c>
      <c r="R32" s="20">
        <v>31336.18</v>
      </c>
      <c r="S32" s="20">
        <v>71189.3</v>
      </c>
      <c r="T32" s="20">
        <v>39102.1</v>
      </c>
      <c r="U32" s="20">
        <v>0</v>
      </c>
      <c r="V32" s="20">
        <v>10521.5</v>
      </c>
      <c r="W32" s="20">
        <v>0</v>
      </c>
      <c r="X32" s="20">
        <f>SUM(Y32:AC32)</f>
        <v>311850.87</v>
      </c>
      <c r="Y32" s="20">
        <v>239516.79999999999</v>
      </c>
      <c r="Z32" s="25">
        <v>0</v>
      </c>
      <c r="AA32" s="20">
        <v>0</v>
      </c>
      <c r="AB32" s="20">
        <f t="shared" ref="AB32" si="18">ROUND(Y32*0.302,2)</f>
        <v>72334.070000000007</v>
      </c>
      <c r="AC32" s="20">
        <v>0</v>
      </c>
      <c r="AD32" s="20">
        <v>103397.56</v>
      </c>
      <c r="AE32" s="20"/>
    </row>
    <row r="33" spans="1:31" ht="25.5" x14ac:dyDescent="0.35">
      <c r="A33" s="305" t="s">
        <v>86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</row>
    <row r="34" spans="1:31" ht="47.25" x14ac:dyDescent="0.25">
      <c r="A34" s="222" t="s">
        <v>174</v>
      </c>
      <c r="B34" s="17" t="s">
        <v>142</v>
      </c>
      <c r="C34" s="17" t="s">
        <v>143</v>
      </c>
      <c r="D34" s="29" t="s">
        <v>45</v>
      </c>
      <c r="E34" s="19">
        <v>1</v>
      </c>
      <c r="F34" s="20">
        <v>2909327.0000000005</v>
      </c>
      <c r="G34" s="20">
        <v>1867803.07</v>
      </c>
      <c r="H34" s="22">
        <v>1434563.8</v>
      </c>
      <c r="I34" s="25">
        <v>0</v>
      </c>
      <c r="J34" s="20">
        <v>0</v>
      </c>
      <c r="K34" s="20">
        <v>433238.27</v>
      </c>
      <c r="L34" s="20">
        <v>1</v>
      </c>
      <c r="M34" s="20">
        <v>376217.8</v>
      </c>
      <c r="N34" s="20">
        <v>149094.70000000001</v>
      </c>
      <c r="O34" s="20">
        <v>29294.2</v>
      </c>
      <c r="P34" s="20">
        <v>0</v>
      </c>
      <c r="Q34" s="20">
        <v>99565.2</v>
      </c>
      <c r="R34" s="20">
        <v>29680.6</v>
      </c>
      <c r="S34" s="20">
        <v>71189.3</v>
      </c>
      <c r="T34" s="20">
        <v>39102.1</v>
      </c>
      <c r="U34" s="20">
        <v>0</v>
      </c>
      <c r="V34" s="20">
        <v>10521.5</v>
      </c>
      <c r="W34" s="20">
        <v>0</v>
      </c>
      <c r="X34" s="20">
        <v>311850.87</v>
      </c>
      <c r="Y34" s="20">
        <v>239516.79999999999</v>
      </c>
      <c r="Z34" s="20">
        <v>0</v>
      </c>
      <c r="AA34" s="20">
        <v>0</v>
      </c>
      <c r="AB34" s="20">
        <v>72334.070000000007</v>
      </c>
      <c r="AC34" s="20">
        <v>0</v>
      </c>
      <c r="AD34" s="20">
        <v>103396.56</v>
      </c>
    </row>
  </sheetData>
  <mergeCells count="82">
    <mergeCell ref="M28:M29"/>
    <mergeCell ref="N28:O28"/>
    <mergeCell ref="A33:AE33"/>
    <mergeCell ref="X25:AC25"/>
    <mergeCell ref="AD25:AD29"/>
    <mergeCell ref="G26:G29"/>
    <mergeCell ref="H26:L26"/>
    <mergeCell ref="X26:X29"/>
    <mergeCell ref="Y26:AC26"/>
    <mergeCell ref="H27:H29"/>
    <mergeCell ref="I27:I29"/>
    <mergeCell ref="J27:J29"/>
    <mergeCell ref="K27:K29"/>
    <mergeCell ref="L27:L29"/>
    <mergeCell ref="Y27:Y29"/>
    <mergeCell ref="Z27:Z29"/>
    <mergeCell ref="AA27:AA29"/>
    <mergeCell ref="AB27:AB29"/>
    <mergeCell ref="AC27:AC29"/>
    <mergeCell ref="S25:S29"/>
    <mergeCell ref="T25:T29"/>
    <mergeCell ref="U25:U29"/>
    <mergeCell ref="V25:V29"/>
    <mergeCell ref="W25:W29"/>
    <mergeCell ref="A21:AE21"/>
    <mergeCell ref="A31:AE31"/>
    <mergeCell ref="A23:A29"/>
    <mergeCell ref="B23:B29"/>
    <mergeCell ref="C23:E23"/>
    <mergeCell ref="F23:AD23"/>
    <mergeCell ref="C24:C29"/>
    <mergeCell ref="D24:D29"/>
    <mergeCell ref="E24:E29"/>
    <mergeCell ref="F24:F29"/>
    <mergeCell ref="G24:AD24"/>
    <mergeCell ref="G25:L25"/>
    <mergeCell ref="M25:O27"/>
    <mergeCell ref="P25:P29"/>
    <mergeCell ref="Q25:Q29"/>
    <mergeCell ref="R25:R29"/>
    <mergeCell ref="AD5:AD9"/>
    <mergeCell ref="A1:AE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G6:G9"/>
    <mergeCell ref="H6:L6"/>
    <mergeCell ref="X6:X9"/>
    <mergeCell ref="Y6:AC6"/>
    <mergeCell ref="H7:H9"/>
    <mergeCell ref="S5:S9"/>
    <mergeCell ref="T5:T9"/>
    <mergeCell ref="W5:W9"/>
    <mergeCell ref="X5:AC5"/>
    <mergeCell ref="R5:R9"/>
    <mergeCell ref="A14:AE14"/>
    <mergeCell ref="A17:AE17"/>
    <mergeCell ref="AA7:AA9"/>
    <mergeCell ref="AB7:AB9"/>
    <mergeCell ref="AC7:AC9"/>
    <mergeCell ref="M8:M9"/>
    <mergeCell ref="N8:O8"/>
    <mergeCell ref="A11:AE11"/>
    <mergeCell ref="I7:I9"/>
    <mergeCell ref="J7:J9"/>
    <mergeCell ref="K7:K9"/>
    <mergeCell ref="L7:L9"/>
    <mergeCell ref="Y7:Y9"/>
    <mergeCell ref="Z7:Z9"/>
    <mergeCell ref="U5:U9"/>
    <mergeCell ref="V5:V9"/>
  </mergeCells>
  <pageMargins left="0.25" right="0.25" top="0.75" bottom="0.75" header="0.3" footer="0.3"/>
  <pageSetup paperSize="9" scale="23" fitToHeight="0" orientation="landscape" r:id="rId1"/>
  <colBreaks count="1" manualBreakCount="1">
    <brk id="3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6"/>
  <sheetViews>
    <sheetView view="pageBreakPreview" topLeftCell="F1" zoomScale="60" zoomScaleNormal="55" workbookViewId="0">
      <selection activeCell="F12" sqref="A1:XFD1048576"/>
    </sheetView>
  </sheetViews>
  <sheetFormatPr defaultRowHeight="15" x14ac:dyDescent="0.25"/>
  <cols>
    <col min="1" max="1" width="30.71093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19.710937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.285156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53.25" customHeight="1" x14ac:dyDescent="0.25">
      <c r="A1" s="304" t="s">
        <v>176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</row>
    <row r="3" spans="1:31" ht="15.75" customHeight="1" x14ac:dyDescent="0.25">
      <c r="A3" s="247" t="s">
        <v>0</v>
      </c>
      <c r="B3" s="243" t="s">
        <v>1</v>
      </c>
      <c r="C3" s="248" t="s">
        <v>2</v>
      </c>
      <c r="D3" s="248"/>
      <c r="E3" s="231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5</v>
      </c>
    </row>
    <row r="4" spans="1:31" ht="15.75" x14ac:dyDescent="0.25">
      <c r="A4" s="238"/>
      <c r="B4" s="242"/>
      <c r="C4" s="249" t="s">
        <v>7</v>
      </c>
      <c r="D4" s="249" t="s">
        <v>8</v>
      </c>
      <c r="E4" s="303" t="s">
        <v>144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</row>
    <row r="5" spans="1:31" ht="15.75" x14ac:dyDescent="0.25">
      <c r="A5" s="238"/>
      <c r="B5" s="242"/>
      <c r="C5" s="249"/>
      <c r="D5" s="249"/>
      <c r="E5" s="303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</row>
    <row r="6" spans="1:31" ht="15.75" x14ac:dyDescent="0.25">
      <c r="A6" s="238"/>
      <c r="B6" s="242"/>
      <c r="C6" s="249"/>
      <c r="D6" s="249"/>
      <c r="E6" s="303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</row>
    <row r="7" spans="1:31" ht="15" customHeight="1" x14ac:dyDescent="0.25">
      <c r="A7" s="238"/>
      <c r="B7" s="242"/>
      <c r="C7" s="249"/>
      <c r="D7" s="249"/>
      <c r="E7" s="303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</row>
    <row r="8" spans="1:31" ht="15.75" x14ac:dyDescent="0.25">
      <c r="A8" s="238"/>
      <c r="B8" s="242"/>
      <c r="C8" s="249"/>
      <c r="D8" s="249"/>
      <c r="E8" s="303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</row>
    <row r="9" spans="1:31" ht="138" customHeight="1" x14ac:dyDescent="0.25">
      <c r="A9" s="238"/>
      <c r="B9" s="242"/>
      <c r="C9" s="249"/>
      <c r="D9" s="249"/>
      <c r="E9" s="303"/>
      <c r="F9" s="246"/>
      <c r="G9" s="246"/>
      <c r="H9" s="242"/>
      <c r="I9" s="242"/>
      <c r="J9" s="242"/>
      <c r="K9" s="242"/>
      <c r="L9" s="242"/>
      <c r="M9" s="246"/>
      <c r="N9" s="229" t="s">
        <v>33</v>
      </c>
      <c r="O9" s="229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</row>
    <row r="10" spans="1:31" ht="15.75" x14ac:dyDescent="0.25">
      <c r="A10" s="230">
        <v>1</v>
      </c>
      <c r="B10" s="235">
        <v>2</v>
      </c>
      <c r="C10" s="232">
        <v>3</v>
      </c>
      <c r="D10" s="235">
        <v>4</v>
      </c>
      <c r="E10" s="232"/>
      <c r="F10" s="235">
        <v>6</v>
      </c>
      <c r="G10" s="232">
        <v>7</v>
      </c>
      <c r="H10" s="235">
        <v>8</v>
      </c>
      <c r="I10" s="232">
        <v>9</v>
      </c>
      <c r="J10" s="235">
        <v>10</v>
      </c>
      <c r="K10" s="232">
        <v>11</v>
      </c>
      <c r="L10" s="235">
        <v>12</v>
      </c>
      <c r="M10" s="232">
        <v>13</v>
      </c>
      <c r="N10" s="229">
        <v>14</v>
      </c>
      <c r="O10" s="235">
        <v>15</v>
      </c>
      <c r="P10" s="235">
        <f>O10+1</f>
        <v>16</v>
      </c>
      <c r="Q10" s="235">
        <f t="shared" ref="Q10:AD10" si="0">P10+1</f>
        <v>17</v>
      </c>
      <c r="R10" s="235">
        <f t="shared" si="0"/>
        <v>18</v>
      </c>
      <c r="S10" s="235">
        <f t="shared" si="0"/>
        <v>19</v>
      </c>
      <c r="T10" s="235">
        <f t="shared" si="0"/>
        <v>20</v>
      </c>
      <c r="U10" s="235">
        <f t="shared" si="0"/>
        <v>21</v>
      </c>
      <c r="V10" s="235">
        <f t="shared" si="0"/>
        <v>22</v>
      </c>
      <c r="W10" s="235">
        <f t="shared" si="0"/>
        <v>23</v>
      </c>
      <c r="X10" s="235">
        <f t="shared" si="0"/>
        <v>24</v>
      </c>
      <c r="Y10" s="235">
        <f t="shared" si="0"/>
        <v>25</v>
      </c>
      <c r="Z10" s="235">
        <f t="shared" si="0"/>
        <v>26</v>
      </c>
      <c r="AA10" s="235">
        <f t="shared" si="0"/>
        <v>27</v>
      </c>
      <c r="AB10" s="235">
        <f t="shared" si="0"/>
        <v>28</v>
      </c>
      <c r="AC10" s="235">
        <f t="shared" si="0"/>
        <v>29</v>
      </c>
      <c r="AD10" s="235">
        <f t="shared" si="0"/>
        <v>30</v>
      </c>
      <c r="AE10" s="235">
        <f>AD10+1</f>
        <v>31</v>
      </c>
    </row>
    <row r="11" spans="1:31" ht="25.5" x14ac:dyDescent="0.35">
      <c r="A11" s="305" t="s">
        <v>72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</row>
    <row r="12" spans="1:31" ht="63" x14ac:dyDescent="0.25">
      <c r="A12" s="236" t="s">
        <v>58</v>
      </c>
      <c r="B12" s="225" t="s">
        <v>50</v>
      </c>
      <c r="C12" s="225" t="s">
        <v>40</v>
      </c>
      <c r="D12" s="22" t="s">
        <v>45</v>
      </c>
      <c r="E12" s="19">
        <v>1</v>
      </c>
      <c r="F12" s="20">
        <f t="shared" ref="F12" si="1">SUM(G12,M12,Q12,R12,S12,T12,V12,W12,X12,AD12,P12,U12)</f>
        <v>137345.353</v>
      </c>
      <c r="G12" s="20">
        <f t="shared" ref="G12" si="2">SUM(H12:L12)</f>
        <v>43048.55</v>
      </c>
      <c r="H12" s="20">
        <v>33063.4</v>
      </c>
      <c r="I12" s="25">
        <v>0</v>
      </c>
      <c r="J12" s="25">
        <v>0</v>
      </c>
      <c r="K12" s="20">
        <f>ROUND(H12*0.302,2)</f>
        <v>9985.15</v>
      </c>
      <c r="L12" s="25">
        <v>0</v>
      </c>
      <c r="M12" s="25">
        <v>9619.0480000000007</v>
      </c>
      <c r="N12" s="25">
        <v>4761.91</v>
      </c>
      <c r="O12" s="25">
        <v>3095.24</v>
      </c>
      <c r="P12" s="25">
        <v>0</v>
      </c>
      <c r="Q12" s="25">
        <v>2964.26</v>
      </c>
      <c r="R12" s="25">
        <v>14590.14</v>
      </c>
      <c r="S12" s="25">
        <f>30085.62-1687.5</f>
        <v>28398.12</v>
      </c>
      <c r="T12" s="25">
        <v>10380.950000000001</v>
      </c>
      <c r="U12" s="20">
        <v>0</v>
      </c>
      <c r="V12" s="25">
        <v>2776.19</v>
      </c>
      <c r="W12" s="25">
        <v>0</v>
      </c>
      <c r="X12" s="20">
        <f>SUM(Y12:AC12)</f>
        <v>14880</v>
      </c>
      <c r="Y12" s="27">
        <v>11428.57</v>
      </c>
      <c r="Z12" s="25">
        <v>0</v>
      </c>
      <c r="AA12" s="25">
        <v>0</v>
      </c>
      <c r="AB12" s="20">
        <f t="shared" ref="AB12" si="3">ROUND(Y12*0.302,2)</f>
        <v>3451.43</v>
      </c>
      <c r="AC12" s="25">
        <v>0</v>
      </c>
      <c r="AD12" s="25">
        <v>10688.094999999999</v>
      </c>
      <c r="AE12" s="20">
        <v>368.2</v>
      </c>
    </row>
    <row r="13" spans="1:31" ht="25.5" x14ac:dyDescent="0.35">
      <c r="A13" s="316" t="s">
        <v>86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</row>
    <row r="14" spans="1:31" ht="63" x14ac:dyDescent="0.25">
      <c r="A14" s="236" t="s">
        <v>58</v>
      </c>
      <c r="B14" s="225" t="s">
        <v>50</v>
      </c>
      <c r="C14" s="225" t="s">
        <v>40</v>
      </c>
      <c r="D14" s="22" t="s">
        <v>45</v>
      </c>
      <c r="E14" s="19">
        <v>1</v>
      </c>
      <c r="F14" s="20">
        <f t="shared" ref="F14" si="4">SUM(G14,M14,Q14,R14,S14,T14,V14,W14,X14,AD14,P14,U14)</f>
        <v>182886.49</v>
      </c>
      <c r="G14" s="20">
        <f t="shared" ref="G14" si="5">SUM(H14:L14)</f>
        <v>73570.69</v>
      </c>
      <c r="H14" s="20">
        <v>56505.91</v>
      </c>
      <c r="I14" s="20">
        <v>0</v>
      </c>
      <c r="J14" s="20">
        <v>0</v>
      </c>
      <c r="K14" s="20">
        <f>ROUND(H14*0.302,2)</f>
        <v>17064.78</v>
      </c>
      <c r="L14" s="20">
        <v>0</v>
      </c>
      <c r="M14" s="226">
        <v>7479.17</v>
      </c>
      <c r="N14" s="226">
        <v>3333.33</v>
      </c>
      <c r="O14" s="226">
        <v>3125</v>
      </c>
      <c r="P14" s="226">
        <v>0</v>
      </c>
      <c r="Q14" s="226">
        <v>1541.67</v>
      </c>
      <c r="R14" s="226">
        <f>19913.56-2329.17</f>
        <v>17584.39</v>
      </c>
      <c r="S14" s="226">
        <f>38033.24-2841.67</f>
        <v>35191.57</v>
      </c>
      <c r="T14" s="226">
        <v>8375</v>
      </c>
      <c r="U14" s="226">
        <v>0</v>
      </c>
      <c r="V14" s="226">
        <v>4525</v>
      </c>
      <c r="W14" s="226">
        <v>0</v>
      </c>
      <c r="X14" s="20">
        <f t="shared" ref="X14" si="6">SUM(Y14:AC14)</f>
        <v>28644</v>
      </c>
      <c r="Y14" s="27">
        <v>22000</v>
      </c>
      <c r="Z14" s="20">
        <v>0</v>
      </c>
      <c r="AA14" s="20">
        <v>0</v>
      </c>
      <c r="AB14" s="20">
        <f t="shared" ref="AB14" si="7">ROUND(Y14*0.302,2)</f>
        <v>6644</v>
      </c>
      <c r="AC14" s="20">
        <v>0</v>
      </c>
      <c r="AD14" s="20">
        <v>5975</v>
      </c>
      <c r="AE14" s="20">
        <v>368.2</v>
      </c>
    </row>
    <row r="15" spans="1:31" ht="25.5" x14ac:dyDescent="0.35">
      <c r="A15" s="316" t="s">
        <v>154</v>
      </c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</row>
    <row r="16" spans="1:31" ht="63" x14ac:dyDescent="0.25">
      <c r="A16" s="236" t="s">
        <v>58</v>
      </c>
      <c r="B16" s="225" t="s">
        <v>50</v>
      </c>
      <c r="C16" s="225" t="s">
        <v>40</v>
      </c>
      <c r="D16" s="22" t="s">
        <v>45</v>
      </c>
      <c r="E16" s="19">
        <v>1</v>
      </c>
      <c r="F16" s="20">
        <f t="shared" ref="F16" si="8">SUM(G16,M16,Q16,R16,S16,T16,V16,W16,X16,AD16,P16,U16)</f>
        <v>182887.13</v>
      </c>
      <c r="G16" s="20">
        <f t="shared" ref="G16" si="9">SUM(H16:L16)</f>
        <v>74117.16</v>
      </c>
      <c r="H16" s="20">
        <v>56925.62</v>
      </c>
      <c r="I16" s="20">
        <v>0</v>
      </c>
      <c r="J16" s="20">
        <v>0</v>
      </c>
      <c r="K16" s="20">
        <f>ROUND(H16*0.302,2)</f>
        <v>17191.54</v>
      </c>
      <c r="L16" s="20">
        <v>0</v>
      </c>
      <c r="M16" s="20">
        <v>7479.17</v>
      </c>
      <c r="N16" s="20">
        <v>3333.33</v>
      </c>
      <c r="O16" s="20">
        <v>3125</v>
      </c>
      <c r="P16" s="20">
        <v>0</v>
      </c>
      <c r="Q16" s="20">
        <v>1541.67</v>
      </c>
      <c r="R16" s="20">
        <v>19913.560000000001</v>
      </c>
      <c r="S16" s="20">
        <f>38033.24-2841.67-2875</f>
        <v>32316.57</v>
      </c>
      <c r="T16" s="20">
        <v>8375</v>
      </c>
      <c r="U16" s="20">
        <v>0</v>
      </c>
      <c r="V16" s="20">
        <v>4525</v>
      </c>
      <c r="W16" s="20">
        <v>0</v>
      </c>
      <c r="X16" s="20">
        <f t="shared" ref="X16" si="10">SUM(Y16:AC16)</f>
        <v>28644</v>
      </c>
      <c r="Y16" s="27">
        <v>22000</v>
      </c>
      <c r="Z16" s="20">
        <v>0</v>
      </c>
      <c r="AA16" s="20">
        <v>0</v>
      </c>
      <c r="AB16" s="20">
        <f t="shared" ref="AB16" si="11">ROUND(Y16*0.302,2)</f>
        <v>6644</v>
      </c>
      <c r="AC16" s="20">
        <v>0</v>
      </c>
      <c r="AD16" s="20">
        <v>5975</v>
      </c>
      <c r="AE16" s="20">
        <v>368.2</v>
      </c>
    </row>
  </sheetData>
  <mergeCells count="42">
    <mergeCell ref="AD5:AD9"/>
    <mergeCell ref="A1:AE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G6:G9"/>
    <mergeCell ref="H6:L6"/>
    <mergeCell ref="X6:X9"/>
    <mergeCell ref="Y6:AC6"/>
    <mergeCell ref="H7:H9"/>
    <mergeCell ref="S5:S9"/>
    <mergeCell ref="T5:T9"/>
    <mergeCell ref="W5:W9"/>
    <mergeCell ref="X5:AC5"/>
    <mergeCell ref="R5:R9"/>
    <mergeCell ref="A13:AE13"/>
    <mergeCell ref="A15:AE15"/>
    <mergeCell ref="AA7:AA9"/>
    <mergeCell ref="AB7:AB9"/>
    <mergeCell ref="AC7:AC9"/>
    <mergeCell ref="M8:M9"/>
    <mergeCell ref="N8:O8"/>
    <mergeCell ref="A11:AE11"/>
    <mergeCell ref="I7:I9"/>
    <mergeCell ref="J7:J9"/>
    <mergeCell ref="K7:K9"/>
    <mergeCell ref="L7:L9"/>
    <mergeCell ref="Y7:Y9"/>
    <mergeCell ref="Z7:Z9"/>
    <mergeCell ref="U5:U9"/>
    <mergeCell ref="V5:V9"/>
  </mergeCells>
  <pageMargins left="0.25" right="0.25" top="0.75" bottom="0.75" header="0.3" footer="0.3"/>
  <pageSetup paperSize="9" scale="23" fitToHeight="0" orientation="landscape" r:id="rId1"/>
  <colBreaks count="1" manualBreakCount="1">
    <brk id="3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0"/>
  <sheetViews>
    <sheetView tabSelected="1" view="pageBreakPreview" topLeftCell="H1" zoomScale="60" zoomScaleNormal="55" workbookViewId="0">
      <selection activeCell="S14" sqref="S14"/>
    </sheetView>
  </sheetViews>
  <sheetFormatPr defaultRowHeight="15" x14ac:dyDescent="0.25"/>
  <cols>
    <col min="1" max="1" width="30.7109375" style="1" customWidth="1"/>
    <col min="2" max="2" width="83.710937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2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.57031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8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53.25" customHeight="1" x14ac:dyDescent="0.25">
      <c r="A1" s="304" t="s">
        <v>175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</row>
    <row r="3" spans="1:31" ht="15.75" customHeight="1" x14ac:dyDescent="0.25">
      <c r="A3" s="247" t="s">
        <v>0</v>
      </c>
      <c r="B3" s="243" t="s">
        <v>1</v>
      </c>
      <c r="C3" s="248" t="s">
        <v>2</v>
      </c>
      <c r="D3" s="248"/>
      <c r="E3" s="231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5</v>
      </c>
    </row>
    <row r="4" spans="1:31" ht="15.75" x14ac:dyDescent="0.25">
      <c r="A4" s="238"/>
      <c r="B4" s="242"/>
      <c r="C4" s="249" t="s">
        <v>7</v>
      </c>
      <c r="D4" s="249" t="s">
        <v>8</v>
      </c>
      <c r="E4" s="303" t="s">
        <v>144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</row>
    <row r="5" spans="1:31" ht="15.75" x14ac:dyDescent="0.25">
      <c r="A5" s="238"/>
      <c r="B5" s="242"/>
      <c r="C5" s="249"/>
      <c r="D5" s="249"/>
      <c r="E5" s="303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</row>
    <row r="6" spans="1:31" ht="15.75" x14ac:dyDescent="0.25">
      <c r="A6" s="238"/>
      <c r="B6" s="242"/>
      <c r="C6" s="249"/>
      <c r="D6" s="249"/>
      <c r="E6" s="303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</row>
    <row r="7" spans="1:31" ht="69" customHeight="1" x14ac:dyDescent="0.25">
      <c r="A7" s="238"/>
      <c r="B7" s="242"/>
      <c r="C7" s="249"/>
      <c r="D7" s="249"/>
      <c r="E7" s="303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</row>
    <row r="8" spans="1:31" ht="15.75" x14ac:dyDescent="0.25">
      <c r="A8" s="238"/>
      <c r="B8" s="242"/>
      <c r="C8" s="249"/>
      <c r="D8" s="249"/>
      <c r="E8" s="303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</row>
    <row r="9" spans="1:31" ht="99.75" customHeight="1" x14ac:dyDescent="0.25">
      <c r="A9" s="238"/>
      <c r="B9" s="242"/>
      <c r="C9" s="249"/>
      <c r="D9" s="249"/>
      <c r="E9" s="303"/>
      <c r="F9" s="246"/>
      <c r="G9" s="246"/>
      <c r="H9" s="242"/>
      <c r="I9" s="242"/>
      <c r="J9" s="242"/>
      <c r="K9" s="242"/>
      <c r="L9" s="242"/>
      <c r="M9" s="246"/>
      <c r="N9" s="229" t="s">
        <v>33</v>
      </c>
      <c r="O9" s="229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</row>
    <row r="10" spans="1:31" ht="15.75" x14ac:dyDescent="0.25">
      <c r="A10" s="230">
        <v>1</v>
      </c>
      <c r="B10" s="235">
        <v>2</v>
      </c>
      <c r="C10" s="232">
        <v>3</v>
      </c>
      <c r="D10" s="235">
        <v>4</v>
      </c>
      <c r="E10" s="232"/>
      <c r="F10" s="235">
        <v>6</v>
      </c>
      <c r="G10" s="232">
        <v>7</v>
      </c>
      <c r="H10" s="235">
        <v>8</v>
      </c>
      <c r="I10" s="232">
        <v>9</v>
      </c>
      <c r="J10" s="235">
        <v>10</v>
      </c>
      <c r="K10" s="232">
        <v>11</v>
      </c>
      <c r="L10" s="235">
        <v>12</v>
      </c>
      <c r="M10" s="232">
        <v>13</v>
      </c>
      <c r="N10" s="229">
        <v>14</v>
      </c>
      <c r="O10" s="235">
        <v>15</v>
      </c>
      <c r="P10" s="235">
        <f>O10+1</f>
        <v>16</v>
      </c>
      <c r="Q10" s="235">
        <f t="shared" ref="Q10:AD10" si="0">P10+1</f>
        <v>17</v>
      </c>
      <c r="R10" s="235">
        <f t="shared" si="0"/>
        <v>18</v>
      </c>
      <c r="S10" s="235">
        <f t="shared" si="0"/>
        <v>19</v>
      </c>
      <c r="T10" s="235">
        <f t="shared" si="0"/>
        <v>20</v>
      </c>
      <c r="U10" s="235">
        <f t="shared" si="0"/>
        <v>21</v>
      </c>
      <c r="V10" s="235">
        <f t="shared" si="0"/>
        <v>22</v>
      </c>
      <c r="W10" s="235">
        <f t="shared" si="0"/>
        <v>23</v>
      </c>
      <c r="X10" s="235">
        <f t="shared" si="0"/>
        <v>24</v>
      </c>
      <c r="Y10" s="235">
        <f t="shared" si="0"/>
        <v>25</v>
      </c>
      <c r="Z10" s="235">
        <f t="shared" si="0"/>
        <v>26</v>
      </c>
      <c r="AA10" s="235">
        <f t="shared" si="0"/>
        <v>27</v>
      </c>
      <c r="AB10" s="235">
        <f t="shared" si="0"/>
        <v>28</v>
      </c>
      <c r="AC10" s="235">
        <f t="shared" si="0"/>
        <v>29</v>
      </c>
      <c r="AD10" s="235">
        <f t="shared" si="0"/>
        <v>30</v>
      </c>
      <c r="AE10" s="235">
        <f>AD10+1</f>
        <v>31</v>
      </c>
    </row>
    <row r="11" spans="1:31" ht="25.5" x14ac:dyDescent="0.35">
      <c r="A11" s="305" t="s">
        <v>72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</row>
    <row r="12" spans="1:31" ht="63" x14ac:dyDescent="0.25">
      <c r="A12" s="238" t="s">
        <v>60</v>
      </c>
      <c r="B12" s="235" t="s">
        <v>61</v>
      </c>
      <c r="C12" s="235" t="s">
        <v>62</v>
      </c>
      <c r="D12" s="235" t="s">
        <v>45</v>
      </c>
      <c r="E12" s="19">
        <v>1</v>
      </c>
      <c r="F12" s="20">
        <f t="shared" ref="F12:F15" si="1">SUM(G12,M12,Q12,R12,S12,T12,V12,W12,X12,AD12,P12,U12)</f>
        <v>28338.240000000002</v>
      </c>
      <c r="G12" s="20">
        <f t="shared" ref="G12:G15" si="2">SUM(H12:L12)</f>
        <v>12778.869999999999</v>
      </c>
      <c r="H12" s="20">
        <v>9814.7999999999993</v>
      </c>
      <c r="I12" s="25">
        <v>0</v>
      </c>
      <c r="J12" s="20">
        <v>0</v>
      </c>
      <c r="K12" s="20">
        <f t="shared" ref="K12:K15" si="3">ROUND(H12*0.302,2)</f>
        <v>2964.07</v>
      </c>
      <c r="L12" s="20"/>
      <c r="M12" s="25">
        <f>1043.33-632</f>
        <v>411.32999999999993</v>
      </c>
      <c r="N12" s="25">
        <v>0</v>
      </c>
      <c r="O12" s="25">
        <v>0</v>
      </c>
      <c r="P12" s="25">
        <v>0</v>
      </c>
      <c r="Q12" s="25">
        <v>511.67</v>
      </c>
      <c r="R12" s="20">
        <v>1997.45</v>
      </c>
      <c r="S12" s="25">
        <v>1919.67</v>
      </c>
      <c r="T12" s="20">
        <v>283.33</v>
      </c>
      <c r="U12" s="20">
        <v>0</v>
      </c>
      <c r="V12" s="25">
        <v>142.72</v>
      </c>
      <c r="W12" s="20">
        <v>2</v>
      </c>
      <c r="X12" s="20">
        <f t="shared" ref="X12:X15" si="4">SUM(Y12:AC12)</f>
        <v>9114</v>
      </c>
      <c r="Y12" s="27">
        <v>7000</v>
      </c>
      <c r="Z12" s="25">
        <v>0</v>
      </c>
      <c r="AA12" s="20">
        <v>0</v>
      </c>
      <c r="AB12" s="20">
        <f t="shared" ref="AB12:AB15" si="5">ROUND(Y12*0.302,2)</f>
        <v>2114</v>
      </c>
      <c r="AC12" s="25">
        <v>0</v>
      </c>
      <c r="AD12" s="25">
        <f>1220-43+0.2</f>
        <v>1177.2</v>
      </c>
      <c r="AE12" s="25">
        <v>12.9</v>
      </c>
    </row>
    <row r="13" spans="1:31" ht="108" customHeight="1" x14ac:dyDescent="0.25">
      <c r="A13" s="238"/>
      <c r="B13" s="235" t="s">
        <v>82</v>
      </c>
      <c r="C13" s="227" t="s">
        <v>64</v>
      </c>
      <c r="D13" s="17" t="s">
        <v>65</v>
      </c>
      <c r="E13" s="19">
        <v>1</v>
      </c>
      <c r="F13" s="20">
        <f t="shared" si="1"/>
        <v>2310.4899999999998</v>
      </c>
      <c r="G13" s="20">
        <f t="shared" si="2"/>
        <v>1235.21</v>
      </c>
      <c r="H13" s="20">
        <v>948.7</v>
      </c>
      <c r="I13" s="25">
        <v>0</v>
      </c>
      <c r="J13" s="20">
        <v>0</v>
      </c>
      <c r="K13" s="20">
        <f t="shared" si="3"/>
        <v>286.51</v>
      </c>
      <c r="L13" s="20"/>
      <c r="M13" s="25">
        <v>48.85</v>
      </c>
      <c r="N13" s="25">
        <v>0</v>
      </c>
      <c r="O13" s="25">
        <v>14.63</v>
      </c>
      <c r="P13" s="25">
        <v>0</v>
      </c>
      <c r="Q13" s="25">
        <f>83.12-40</f>
        <v>43.120000000000005</v>
      </c>
      <c r="R13" s="20">
        <v>14.11</v>
      </c>
      <c r="S13" s="25">
        <v>29.86</v>
      </c>
      <c r="T13" s="20">
        <v>55.01</v>
      </c>
      <c r="U13" s="20">
        <v>0</v>
      </c>
      <c r="V13" s="25">
        <v>44.67</v>
      </c>
      <c r="W13" s="20">
        <v>0</v>
      </c>
      <c r="X13" s="20">
        <f t="shared" si="4"/>
        <v>535.55999999999995</v>
      </c>
      <c r="Y13" s="27">
        <v>411.34</v>
      </c>
      <c r="Z13" s="25">
        <v>0</v>
      </c>
      <c r="AA13" s="20">
        <v>0</v>
      </c>
      <c r="AB13" s="20">
        <f t="shared" si="5"/>
        <v>124.22</v>
      </c>
      <c r="AC13" s="25">
        <v>0</v>
      </c>
      <c r="AD13" s="25">
        <v>304.10000000000002</v>
      </c>
      <c r="AE13" s="25">
        <v>0</v>
      </c>
    </row>
    <row r="14" spans="1:31" ht="165.75" customHeight="1" x14ac:dyDescent="0.25">
      <c r="A14" s="238"/>
      <c r="B14" s="235" t="s">
        <v>83</v>
      </c>
      <c r="C14" s="227" t="s">
        <v>64</v>
      </c>
      <c r="D14" s="17" t="s">
        <v>65</v>
      </c>
      <c r="E14" s="19">
        <v>1</v>
      </c>
      <c r="F14" s="20">
        <f t="shared" si="1"/>
        <v>2310.4899999999998</v>
      </c>
      <c r="G14" s="20">
        <f t="shared" si="2"/>
        <v>1235.21</v>
      </c>
      <c r="H14" s="20">
        <v>948.7</v>
      </c>
      <c r="I14" s="25">
        <v>0</v>
      </c>
      <c r="J14" s="20">
        <v>0</v>
      </c>
      <c r="K14" s="20">
        <f t="shared" si="3"/>
        <v>286.51</v>
      </c>
      <c r="L14" s="20"/>
      <c r="M14" s="25">
        <v>48.85</v>
      </c>
      <c r="N14" s="25">
        <v>0</v>
      </c>
      <c r="O14" s="25">
        <v>14.63</v>
      </c>
      <c r="P14" s="25">
        <v>0</v>
      </c>
      <c r="Q14" s="25">
        <f>83.12-40</f>
        <v>43.120000000000005</v>
      </c>
      <c r="R14" s="20">
        <v>14.11</v>
      </c>
      <c r="S14" s="25">
        <v>29.86</v>
      </c>
      <c r="T14" s="20">
        <v>55.01</v>
      </c>
      <c r="U14" s="20">
        <v>0</v>
      </c>
      <c r="V14" s="25">
        <v>44.67</v>
      </c>
      <c r="W14" s="20">
        <v>0</v>
      </c>
      <c r="X14" s="20">
        <f t="shared" si="4"/>
        <v>535.55999999999995</v>
      </c>
      <c r="Y14" s="27">
        <v>411.34</v>
      </c>
      <c r="Z14" s="25">
        <v>0</v>
      </c>
      <c r="AA14" s="20">
        <v>0</v>
      </c>
      <c r="AB14" s="20">
        <f t="shared" si="5"/>
        <v>124.22</v>
      </c>
      <c r="AC14" s="25">
        <v>0</v>
      </c>
      <c r="AD14" s="25">
        <v>304.10000000000002</v>
      </c>
      <c r="AE14" s="25">
        <v>0</v>
      </c>
    </row>
    <row r="15" spans="1:31" ht="90" customHeight="1" x14ac:dyDescent="0.25">
      <c r="A15" s="239"/>
      <c r="B15" s="235" t="s">
        <v>84</v>
      </c>
      <c r="C15" s="39" t="s">
        <v>64</v>
      </c>
      <c r="D15" s="38" t="s">
        <v>65</v>
      </c>
      <c r="E15" s="19">
        <v>1</v>
      </c>
      <c r="F15" s="41">
        <f t="shared" si="1"/>
        <v>2310.4899999999998</v>
      </c>
      <c r="G15" s="41">
        <f t="shared" si="2"/>
        <v>1235.21</v>
      </c>
      <c r="H15" s="41">
        <v>948.7</v>
      </c>
      <c r="I15" s="42">
        <v>0</v>
      </c>
      <c r="J15" s="41">
        <v>0</v>
      </c>
      <c r="K15" s="41">
        <f t="shared" si="3"/>
        <v>286.51</v>
      </c>
      <c r="L15" s="41"/>
      <c r="M15" s="42">
        <v>48.85</v>
      </c>
      <c r="N15" s="42">
        <v>0</v>
      </c>
      <c r="O15" s="42">
        <v>14.63</v>
      </c>
      <c r="P15" s="42">
        <v>0</v>
      </c>
      <c r="Q15" s="25">
        <f>83.12-40</f>
        <v>43.120000000000005</v>
      </c>
      <c r="R15" s="41">
        <v>14.11</v>
      </c>
      <c r="S15" s="42">
        <v>29.86</v>
      </c>
      <c r="T15" s="41">
        <v>55.01</v>
      </c>
      <c r="U15" s="41">
        <v>0</v>
      </c>
      <c r="V15" s="42">
        <v>44.67</v>
      </c>
      <c r="W15" s="41">
        <v>0</v>
      </c>
      <c r="X15" s="41">
        <f t="shared" si="4"/>
        <v>535.55999999999995</v>
      </c>
      <c r="Y15" s="43">
        <v>411.34</v>
      </c>
      <c r="Z15" s="42">
        <v>0</v>
      </c>
      <c r="AA15" s="41">
        <v>0</v>
      </c>
      <c r="AB15" s="41">
        <f t="shared" si="5"/>
        <v>124.22</v>
      </c>
      <c r="AC15" s="42">
        <v>0</v>
      </c>
      <c r="AD15" s="42">
        <v>304.10000000000002</v>
      </c>
      <c r="AE15" s="42">
        <v>0</v>
      </c>
    </row>
    <row r="16" spans="1:31" ht="25.5" x14ac:dyDescent="0.35">
      <c r="A16" s="316" t="s">
        <v>86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</row>
    <row r="17" spans="1:31" ht="63" x14ac:dyDescent="0.25">
      <c r="A17" s="318" t="s">
        <v>60</v>
      </c>
      <c r="B17" s="235" t="s">
        <v>61</v>
      </c>
      <c r="C17" s="235" t="s">
        <v>62</v>
      </c>
      <c r="D17" s="235" t="s">
        <v>45</v>
      </c>
      <c r="E17" s="19">
        <v>1</v>
      </c>
      <c r="F17" s="20">
        <f t="shared" ref="F17:F20" si="6">SUM(G17,M17,Q17,R17,S17,T17,V17,W17,X17,AD17,P17,U17)</f>
        <v>28948.36</v>
      </c>
      <c r="G17" s="20">
        <f t="shared" ref="G17:G20" si="7">SUM(H17:L17)</f>
        <v>12854.480000000001</v>
      </c>
      <c r="H17" s="20">
        <v>9872.8700000000008</v>
      </c>
      <c r="I17" s="25">
        <v>0</v>
      </c>
      <c r="J17" s="20">
        <v>0</v>
      </c>
      <c r="K17" s="20">
        <f t="shared" ref="K17:K20" si="8">ROUND(H17*0.302,2)</f>
        <v>2981.61</v>
      </c>
      <c r="L17" s="20"/>
      <c r="M17" s="25">
        <f>1064.67-552.33</f>
        <v>512.34</v>
      </c>
      <c r="N17" s="25">
        <v>0</v>
      </c>
      <c r="O17" s="25">
        <v>0</v>
      </c>
      <c r="P17" s="25">
        <v>0</v>
      </c>
      <c r="Q17" s="25">
        <v>541.66</v>
      </c>
      <c r="R17" s="20">
        <v>2017.5</v>
      </c>
      <c r="S17" s="25">
        <v>1977.26</v>
      </c>
      <c r="T17" s="20">
        <v>297.5</v>
      </c>
      <c r="U17" s="20">
        <v>0</v>
      </c>
      <c r="V17" s="25">
        <v>150.13999999999999</v>
      </c>
      <c r="W17" s="20">
        <v>2.1</v>
      </c>
      <c r="X17" s="20">
        <f t="shared" ref="X17:X20" si="9">SUM(Y17:AC17)</f>
        <v>9387.380000000001</v>
      </c>
      <c r="Y17" s="27">
        <v>7209.97</v>
      </c>
      <c r="Z17" s="25">
        <v>0</v>
      </c>
      <c r="AA17" s="20">
        <v>0</v>
      </c>
      <c r="AB17" s="20">
        <f t="shared" ref="AB17:AB20" si="10">ROUND(Y17*0.302,2)</f>
        <v>2177.41</v>
      </c>
      <c r="AC17" s="25">
        <v>0</v>
      </c>
      <c r="AD17" s="25">
        <f>1251-43</f>
        <v>1208</v>
      </c>
      <c r="AE17" s="25">
        <v>12.9</v>
      </c>
    </row>
    <row r="18" spans="1:31" ht="126" customHeight="1" x14ac:dyDescent="0.25">
      <c r="A18" s="318"/>
      <c r="B18" s="235" t="s">
        <v>82</v>
      </c>
      <c r="C18" s="227" t="s">
        <v>64</v>
      </c>
      <c r="D18" s="17" t="s">
        <v>65</v>
      </c>
      <c r="E18" s="19">
        <v>1</v>
      </c>
      <c r="F18" s="20">
        <f t="shared" si="6"/>
        <v>2365.9399999999996</v>
      </c>
      <c r="G18" s="20">
        <f t="shared" si="7"/>
        <v>1266.94</v>
      </c>
      <c r="H18" s="20">
        <v>973.07</v>
      </c>
      <c r="I18" s="25">
        <v>0</v>
      </c>
      <c r="J18" s="20">
        <v>0</v>
      </c>
      <c r="K18" s="20">
        <f t="shared" si="8"/>
        <v>293.87</v>
      </c>
      <c r="L18" s="20"/>
      <c r="M18" s="25">
        <v>49.51</v>
      </c>
      <c r="N18" s="25">
        <v>0</v>
      </c>
      <c r="O18" s="25">
        <v>14.68</v>
      </c>
      <c r="P18" s="25">
        <v>0</v>
      </c>
      <c r="Q18" s="25">
        <f>87.53-30.93</f>
        <v>56.6</v>
      </c>
      <c r="R18" s="20">
        <v>13.72</v>
      </c>
      <c r="S18" s="25">
        <v>30.42</v>
      </c>
      <c r="T18" s="20">
        <v>55.83</v>
      </c>
      <c r="U18" s="20">
        <v>0</v>
      </c>
      <c r="V18" s="25">
        <v>45.36</v>
      </c>
      <c r="W18" s="20">
        <v>0</v>
      </c>
      <c r="X18" s="20">
        <f t="shared" si="9"/>
        <v>540.81999999999994</v>
      </c>
      <c r="Y18" s="27">
        <v>415.38</v>
      </c>
      <c r="Z18" s="25">
        <v>0</v>
      </c>
      <c r="AA18" s="20">
        <v>0</v>
      </c>
      <c r="AB18" s="20">
        <f t="shared" si="10"/>
        <v>125.44</v>
      </c>
      <c r="AC18" s="25">
        <v>0</v>
      </c>
      <c r="AD18" s="25">
        <v>306.74</v>
      </c>
      <c r="AE18" s="25">
        <v>0</v>
      </c>
    </row>
    <row r="19" spans="1:31" ht="171.75" customHeight="1" x14ac:dyDescent="0.25">
      <c r="A19" s="318"/>
      <c r="B19" s="235" t="s">
        <v>83</v>
      </c>
      <c r="C19" s="227" t="s">
        <v>64</v>
      </c>
      <c r="D19" s="17" t="s">
        <v>65</v>
      </c>
      <c r="E19" s="19">
        <v>1</v>
      </c>
      <c r="F19" s="20">
        <f t="shared" si="6"/>
        <v>2365.9399999999996</v>
      </c>
      <c r="G19" s="20">
        <f t="shared" si="7"/>
        <v>1266.94</v>
      </c>
      <c r="H19" s="20">
        <v>973.07</v>
      </c>
      <c r="I19" s="25">
        <v>0</v>
      </c>
      <c r="J19" s="20">
        <v>0</v>
      </c>
      <c r="K19" s="20">
        <f t="shared" si="8"/>
        <v>293.87</v>
      </c>
      <c r="L19" s="20"/>
      <c r="M19" s="25">
        <v>49.51</v>
      </c>
      <c r="N19" s="25">
        <v>0</v>
      </c>
      <c r="O19" s="25">
        <v>14.68</v>
      </c>
      <c r="P19" s="25">
        <v>0</v>
      </c>
      <c r="Q19" s="25">
        <f>87.53-30.93</f>
        <v>56.6</v>
      </c>
      <c r="R19" s="20">
        <v>13.72</v>
      </c>
      <c r="S19" s="25">
        <v>30.42</v>
      </c>
      <c r="T19" s="20">
        <v>55.83</v>
      </c>
      <c r="U19" s="20">
        <v>0</v>
      </c>
      <c r="V19" s="25">
        <v>45.36</v>
      </c>
      <c r="W19" s="20">
        <v>0</v>
      </c>
      <c r="X19" s="20">
        <f t="shared" si="9"/>
        <v>540.81999999999994</v>
      </c>
      <c r="Y19" s="27">
        <v>415.38</v>
      </c>
      <c r="Z19" s="25">
        <v>0</v>
      </c>
      <c r="AA19" s="20">
        <v>0</v>
      </c>
      <c r="AB19" s="20">
        <f t="shared" si="10"/>
        <v>125.44</v>
      </c>
      <c r="AC19" s="25">
        <v>0</v>
      </c>
      <c r="AD19" s="25">
        <v>306.74</v>
      </c>
      <c r="AE19" s="25">
        <v>0</v>
      </c>
    </row>
    <row r="20" spans="1:31" ht="90.75" customHeight="1" x14ac:dyDescent="0.25">
      <c r="A20" s="319"/>
      <c r="B20" s="235" t="s">
        <v>84</v>
      </c>
      <c r="C20" s="39" t="s">
        <v>64</v>
      </c>
      <c r="D20" s="38" t="s">
        <v>65</v>
      </c>
      <c r="E20" s="40">
        <v>1</v>
      </c>
      <c r="F20" s="41">
        <f t="shared" si="6"/>
        <v>2365.9399999999996</v>
      </c>
      <c r="G20" s="41">
        <f t="shared" si="7"/>
        <v>1266.94</v>
      </c>
      <c r="H20" s="41">
        <v>973.07</v>
      </c>
      <c r="I20" s="42">
        <v>0</v>
      </c>
      <c r="J20" s="41">
        <v>0</v>
      </c>
      <c r="K20" s="41">
        <f t="shared" si="8"/>
        <v>293.87</v>
      </c>
      <c r="L20" s="41"/>
      <c r="M20" s="42">
        <v>49.51</v>
      </c>
      <c r="N20" s="42">
        <v>0</v>
      </c>
      <c r="O20" s="42">
        <v>14.68</v>
      </c>
      <c r="P20" s="42">
        <v>0</v>
      </c>
      <c r="Q20" s="25">
        <f>87.53-30.93</f>
        <v>56.6</v>
      </c>
      <c r="R20" s="41">
        <v>13.72</v>
      </c>
      <c r="S20" s="42">
        <v>30.42</v>
      </c>
      <c r="T20" s="41">
        <v>55.83</v>
      </c>
      <c r="U20" s="41">
        <v>0</v>
      </c>
      <c r="V20" s="42">
        <v>45.36</v>
      </c>
      <c r="W20" s="41">
        <v>0</v>
      </c>
      <c r="X20" s="41">
        <f t="shared" si="9"/>
        <v>540.81999999999994</v>
      </c>
      <c r="Y20" s="43">
        <v>415.38</v>
      </c>
      <c r="Z20" s="42">
        <v>0</v>
      </c>
      <c r="AA20" s="41">
        <v>0</v>
      </c>
      <c r="AB20" s="41">
        <f t="shared" si="10"/>
        <v>125.44</v>
      </c>
      <c r="AC20" s="42">
        <v>0</v>
      </c>
      <c r="AD20" s="42">
        <v>306.74</v>
      </c>
      <c r="AE20" s="42">
        <v>0</v>
      </c>
    </row>
    <row r="21" spans="1:31" ht="25.5" x14ac:dyDescent="0.35">
      <c r="A21" s="316" t="s">
        <v>154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</row>
    <row r="22" spans="1:31" ht="63" x14ac:dyDescent="0.25">
      <c r="A22" s="238" t="s">
        <v>60</v>
      </c>
      <c r="B22" s="235" t="s">
        <v>61</v>
      </c>
      <c r="C22" s="235" t="s">
        <v>62</v>
      </c>
      <c r="D22" s="235" t="s">
        <v>45</v>
      </c>
      <c r="E22" s="19">
        <v>1</v>
      </c>
      <c r="F22" s="20">
        <f t="shared" ref="F22:F25" si="11">SUM(G22,M22,Q22,R22,S22,T22,V22,W22,X22,AD22,P22,U22)</f>
        <v>28943.16</v>
      </c>
      <c r="G22" s="20">
        <f t="shared" ref="G22:G25" si="12">SUM(H22:L22)</f>
        <v>12949.95</v>
      </c>
      <c r="H22" s="20">
        <v>9946.2000000000007</v>
      </c>
      <c r="I22" s="25">
        <v>0</v>
      </c>
      <c r="J22" s="20">
        <v>0</v>
      </c>
      <c r="K22" s="20">
        <f t="shared" ref="K22:K25" si="13">ROUND(H22*0.302,2)</f>
        <v>3003.75</v>
      </c>
      <c r="L22" s="20"/>
      <c r="M22" s="234">
        <v>1064.67</v>
      </c>
      <c r="N22" s="234">
        <v>0</v>
      </c>
      <c r="O22" s="234">
        <v>0</v>
      </c>
      <c r="P22" s="234">
        <v>0</v>
      </c>
      <c r="Q22" s="234">
        <v>541.66</v>
      </c>
      <c r="R22" s="234">
        <f>2017.5-653</f>
        <v>1364.5</v>
      </c>
      <c r="S22" s="234">
        <v>1977.26</v>
      </c>
      <c r="T22" s="234">
        <v>297.5</v>
      </c>
      <c r="U22" s="234">
        <v>0</v>
      </c>
      <c r="V22" s="234">
        <v>150.13999999999999</v>
      </c>
      <c r="W22" s="234">
        <v>2.1</v>
      </c>
      <c r="X22" s="20">
        <f t="shared" ref="X22:X25" si="14">SUM(Y22:AC22)</f>
        <v>9387.380000000001</v>
      </c>
      <c r="Y22" s="27">
        <v>7209.97</v>
      </c>
      <c r="Z22" s="25">
        <v>0</v>
      </c>
      <c r="AA22" s="20">
        <v>0</v>
      </c>
      <c r="AB22" s="20">
        <f t="shared" ref="AB22:AB25" si="15">ROUND(Y22*0.302,2)</f>
        <v>2177.41</v>
      </c>
      <c r="AC22" s="25">
        <v>0</v>
      </c>
      <c r="AD22" s="25">
        <f>1251-43</f>
        <v>1208</v>
      </c>
      <c r="AE22" s="25">
        <v>12.9</v>
      </c>
    </row>
    <row r="23" spans="1:31" ht="108" customHeight="1" x14ac:dyDescent="0.25">
      <c r="A23" s="238"/>
      <c r="B23" s="235" t="s">
        <v>82</v>
      </c>
      <c r="C23" s="227" t="s">
        <v>64</v>
      </c>
      <c r="D23" s="235" t="s">
        <v>65</v>
      </c>
      <c r="E23" s="19">
        <v>1</v>
      </c>
      <c r="F23" s="20">
        <f t="shared" si="11"/>
        <v>2366.2799999999997</v>
      </c>
      <c r="G23" s="20">
        <f t="shared" si="12"/>
        <v>1276.3499999999999</v>
      </c>
      <c r="H23" s="20">
        <v>980.3</v>
      </c>
      <c r="I23" s="25">
        <v>0</v>
      </c>
      <c r="J23" s="20">
        <v>0</v>
      </c>
      <c r="K23" s="20">
        <f t="shared" si="13"/>
        <v>296.05</v>
      </c>
      <c r="L23" s="20"/>
      <c r="M23" s="95">
        <v>49.51</v>
      </c>
      <c r="N23" s="95">
        <v>0</v>
      </c>
      <c r="O23" s="95">
        <v>14.68</v>
      </c>
      <c r="P23" s="95">
        <v>0</v>
      </c>
      <c r="Q23" s="95">
        <f>87.53-40</f>
        <v>47.53</v>
      </c>
      <c r="R23" s="234">
        <v>13.72</v>
      </c>
      <c r="S23" s="95">
        <v>30.42</v>
      </c>
      <c r="T23" s="234">
        <v>55.83</v>
      </c>
      <c r="U23" s="234">
        <v>0</v>
      </c>
      <c r="V23" s="95">
        <v>45.36</v>
      </c>
      <c r="W23" s="234">
        <v>0</v>
      </c>
      <c r="X23" s="20">
        <f t="shared" si="14"/>
        <v>540.81999999999994</v>
      </c>
      <c r="Y23" s="27">
        <v>415.38</v>
      </c>
      <c r="Z23" s="25">
        <v>0</v>
      </c>
      <c r="AA23" s="20">
        <v>0</v>
      </c>
      <c r="AB23" s="20">
        <f t="shared" si="15"/>
        <v>125.44</v>
      </c>
      <c r="AC23" s="25">
        <v>0</v>
      </c>
      <c r="AD23" s="25">
        <v>306.74</v>
      </c>
      <c r="AE23" s="25">
        <v>0</v>
      </c>
    </row>
    <row r="24" spans="1:31" ht="168.75" customHeight="1" x14ac:dyDescent="0.25">
      <c r="A24" s="238"/>
      <c r="B24" s="235" t="s">
        <v>83</v>
      </c>
      <c r="C24" s="227" t="s">
        <v>64</v>
      </c>
      <c r="D24" s="235" t="s">
        <v>65</v>
      </c>
      <c r="E24" s="19">
        <v>1</v>
      </c>
      <c r="F24" s="20">
        <f t="shared" si="11"/>
        <v>2366.2799999999997</v>
      </c>
      <c r="G24" s="20">
        <f t="shared" si="12"/>
        <v>1276.3499999999999</v>
      </c>
      <c r="H24" s="20">
        <v>980.3</v>
      </c>
      <c r="I24" s="25">
        <v>0</v>
      </c>
      <c r="J24" s="20">
        <v>0</v>
      </c>
      <c r="K24" s="20">
        <f t="shared" si="13"/>
        <v>296.05</v>
      </c>
      <c r="L24" s="20"/>
      <c r="M24" s="95">
        <v>49.51</v>
      </c>
      <c r="N24" s="95">
        <v>0</v>
      </c>
      <c r="O24" s="95">
        <v>14.68</v>
      </c>
      <c r="P24" s="95">
        <v>0</v>
      </c>
      <c r="Q24" s="95">
        <f>87.53-40</f>
        <v>47.53</v>
      </c>
      <c r="R24" s="234">
        <v>13.72</v>
      </c>
      <c r="S24" s="95">
        <v>30.42</v>
      </c>
      <c r="T24" s="234">
        <v>55.83</v>
      </c>
      <c r="U24" s="234">
        <v>0</v>
      </c>
      <c r="V24" s="95">
        <v>45.36</v>
      </c>
      <c r="W24" s="234">
        <v>0</v>
      </c>
      <c r="X24" s="20">
        <f t="shared" si="14"/>
        <v>540.81999999999994</v>
      </c>
      <c r="Y24" s="27">
        <v>415.38</v>
      </c>
      <c r="Z24" s="25">
        <v>0</v>
      </c>
      <c r="AA24" s="20">
        <v>0</v>
      </c>
      <c r="AB24" s="20">
        <f t="shared" si="15"/>
        <v>125.44</v>
      </c>
      <c r="AC24" s="25">
        <v>0</v>
      </c>
      <c r="AD24" s="25">
        <v>306.74</v>
      </c>
      <c r="AE24" s="25">
        <v>0</v>
      </c>
    </row>
    <row r="25" spans="1:31" ht="85.5" customHeight="1" x14ac:dyDescent="0.25">
      <c r="A25" s="239"/>
      <c r="B25" s="235" t="s">
        <v>84</v>
      </c>
      <c r="C25" s="39" t="s">
        <v>64</v>
      </c>
      <c r="D25" s="228" t="s">
        <v>65</v>
      </c>
      <c r="E25" s="40">
        <v>1</v>
      </c>
      <c r="F25" s="41">
        <f t="shared" si="11"/>
        <v>2366.2799999999997</v>
      </c>
      <c r="G25" s="41">
        <f t="shared" si="12"/>
        <v>1276.3499999999999</v>
      </c>
      <c r="H25" s="41">
        <v>980.3</v>
      </c>
      <c r="I25" s="42">
        <v>0</v>
      </c>
      <c r="J25" s="41">
        <v>0</v>
      </c>
      <c r="K25" s="41">
        <f t="shared" si="13"/>
        <v>296.05</v>
      </c>
      <c r="L25" s="41"/>
      <c r="M25" s="95">
        <v>49.51</v>
      </c>
      <c r="N25" s="95">
        <v>0</v>
      </c>
      <c r="O25" s="95">
        <v>14.68</v>
      </c>
      <c r="P25" s="95">
        <v>0</v>
      </c>
      <c r="Q25" s="95">
        <f>87.53-40</f>
        <v>47.53</v>
      </c>
      <c r="R25" s="234">
        <v>13.72</v>
      </c>
      <c r="S25" s="95">
        <v>30.42</v>
      </c>
      <c r="T25" s="234">
        <v>55.83</v>
      </c>
      <c r="U25" s="234">
        <v>0</v>
      </c>
      <c r="V25" s="95">
        <v>45.36</v>
      </c>
      <c r="W25" s="234">
        <v>0</v>
      </c>
      <c r="X25" s="41">
        <f t="shared" si="14"/>
        <v>540.81999999999994</v>
      </c>
      <c r="Y25" s="43">
        <v>415.38</v>
      </c>
      <c r="Z25" s="42">
        <v>0</v>
      </c>
      <c r="AA25" s="41">
        <v>0</v>
      </c>
      <c r="AB25" s="41">
        <f t="shared" si="15"/>
        <v>125.44</v>
      </c>
      <c r="AC25" s="42">
        <v>0</v>
      </c>
      <c r="AD25" s="42">
        <v>306.74</v>
      </c>
      <c r="AE25" s="42">
        <v>0</v>
      </c>
    </row>
    <row r="27" spans="1:31" ht="57" customHeight="1" x14ac:dyDescent="0.25">
      <c r="A27" s="304" t="s">
        <v>173</v>
      </c>
      <c r="B27" s="304"/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</row>
    <row r="29" spans="1:31" ht="15.75" customHeight="1" x14ac:dyDescent="0.25">
      <c r="A29" s="238" t="s">
        <v>0</v>
      </c>
      <c r="B29" s="242" t="s">
        <v>1</v>
      </c>
      <c r="C29" s="303" t="s">
        <v>2</v>
      </c>
      <c r="D29" s="303"/>
      <c r="E29" s="303"/>
      <c r="F29" s="242" t="s">
        <v>3</v>
      </c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</row>
    <row r="30" spans="1:31" ht="15.75" x14ac:dyDescent="0.25">
      <c r="A30" s="238"/>
      <c r="B30" s="242"/>
      <c r="C30" s="249" t="s">
        <v>7</v>
      </c>
      <c r="D30" s="249" t="s">
        <v>8</v>
      </c>
      <c r="E30" s="303" t="s">
        <v>144</v>
      </c>
      <c r="F30" s="246" t="s">
        <v>10</v>
      </c>
      <c r="G30" s="250" t="s">
        <v>11</v>
      </c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</row>
    <row r="31" spans="1:31" ht="15.75" x14ac:dyDescent="0.25">
      <c r="A31" s="238"/>
      <c r="B31" s="242"/>
      <c r="C31" s="249"/>
      <c r="D31" s="249"/>
      <c r="E31" s="303"/>
      <c r="F31" s="246"/>
      <c r="G31" s="242" t="s">
        <v>12</v>
      </c>
      <c r="H31" s="242"/>
      <c r="I31" s="242"/>
      <c r="J31" s="242"/>
      <c r="K31" s="242"/>
      <c r="L31" s="242"/>
      <c r="M31" s="242" t="s">
        <v>13</v>
      </c>
      <c r="N31" s="242"/>
      <c r="O31" s="242"/>
      <c r="P31" s="242" t="s">
        <v>14</v>
      </c>
      <c r="Q31" s="242" t="s">
        <v>15</v>
      </c>
      <c r="R31" s="242" t="s">
        <v>16</v>
      </c>
      <c r="S31" s="242" t="s">
        <v>17</v>
      </c>
      <c r="T31" s="242" t="s">
        <v>18</v>
      </c>
      <c r="U31" s="242" t="s">
        <v>19</v>
      </c>
      <c r="V31" s="242" t="s">
        <v>20</v>
      </c>
      <c r="W31" s="242" t="s">
        <v>21</v>
      </c>
      <c r="X31" s="242" t="s">
        <v>22</v>
      </c>
      <c r="Y31" s="242"/>
      <c r="Z31" s="242"/>
      <c r="AA31" s="242"/>
      <c r="AB31" s="242"/>
      <c r="AC31" s="242"/>
      <c r="AD31" s="242" t="s">
        <v>23</v>
      </c>
    </row>
    <row r="32" spans="1:31" ht="15.75" x14ac:dyDescent="0.25">
      <c r="A32" s="238"/>
      <c r="B32" s="242"/>
      <c r="C32" s="249"/>
      <c r="D32" s="249"/>
      <c r="E32" s="303"/>
      <c r="F32" s="246"/>
      <c r="G32" s="246" t="s">
        <v>24</v>
      </c>
      <c r="H32" s="242" t="s">
        <v>11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6" t="s">
        <v>25</v>
      </c>
      <c r="Y32" s="242" t="s">
        <v>11</v>
      </c>
      <c r="Z32" s="242"/>
      <c r="AA32" s="242"/>
      <c r="AB32" s="242"/>
      <c r="AC32" s="242"/>
      <c r="AD32" s="242"/>
    </row>
    <row r="33" spans="1:31" ht="61.5" customHeight="1" x14ac:dyDescent="0.25">
      <c r="A33" s="238"/>
      <c r="B33" s="242"/>
      <c r="C33" s="249"/>
      <c r="D33" s="249"/>
      <c r="E33" s="303"/>
      <c r="F33" s="246"/>
      <c r="G33" s="246"/>
      <c r="H33" s="242" t="s">
        <v>26</v>
      </c>
      <c r="I33" s="242" t="s">
        <v>27</v>
      </c>
      <c r="J33" s="242" t="s">
        <v>28</v>
      </c>
      <c r="K33" s="242" t="s">
        <v>29</v>
      </c>
      <c r="L33" s="242" t="s">
        <v>30</v>
      </c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6"/>
      <c r="Y33" s="242" t="s">
        <v>26</v>
      </c>
      <c r="Z33" s="242" t="s">
        <v>27</v>
      </c>
      <c r="AA33" s="242" t="s">
        <v>28</v>
      </c>
      <c r="AB33" s="242" t="s">
        <v>29</v>
      </c>
      <c r="AC33" s="242" t="s">
        <v>30</v>
      </c>
      <c r="AD33" s="242"/>
    </row>
    <row r="34" spans="1:31" ht="15.75" x14ac:dyDescent="0.25">
      <c r="A34" s="238"/>
      <c r="B34" s="242"/>
      <c r="C34" s="249"/>
      <c r="D34" s="249"/>
      <c r="E34" s="303"/>
      <c r="F34" s="246"/>
      <c r="G34" s="246"/>
      <c r="H34" s="242"/>
      <c r="I34" s="242"/>
      <c r="J34" s="242"/>
      <c r="K34" s="242"/>
      <c r="L34" s="242"/>
      <c r="M34" s="246" t="s">
        <v>31</v>
      </c>
      <c r="N34" s="242" t="s">
        <v>32</v>
      </c>
      <c r="O34" s="242"/>
      <c r="P34" s="242"/>
      <c r="Q34" s="242"/>
      <c r="R34" s="242"/>
      <c r="S34" s="242"/>
      <c r="T34" s="242"/>
      <c r="U34" s="242"/>
      <c r="V34" s="242"/>
      <c r="W34" s="242"/>
      <c r="X34" s="246"/>
      <c r="Y34" s="242"/>
      <c r="Z34" s="242"/>
      <c r="AA34" s="242"/>
      <c r="AB34" s="242"/>
      <c r="AC34" s="242"/>
      <c r="AD34" s="242"/>
    </row>
    <row r="35" spans="1:31" ht="102.75" customHeight="1" x14ac:dyDescent="0.25">
      <c r="A35" s="238"/>
      <c r="B35" s="242"/>
      <c r="C35" s="249"/>
      <c r="D35" s="249"/>
      <c r="E35" s="303"/>
      <c r="F35" s="246"/>
      <c r="G35" s="246"/>
      <c r="H35" s="242"/>
      <c r="I35" s="242"/>
      <c r="J35" s="242"/>
      <c r="K35" s="242"/>
      <c r="L35" s="242"/>
      <c r="M35" s="246"/>
      <c r="N35" s="229" t="s">
        <v>33</v>
      </c>
      <c r="O35" s="229" t="s">
        <v>34</v>
      </c>
      <c r="P35" s="242"/>
      <c r="Q35" s="242"/>
      <c r="R35" s="242"/>
      <c r="S35" s="242"/>
      <c r="T35" s="242"/>
      <c r="U35" s="242"/>
      <c r="V35" s="242"/>
      <c r="W35" s="242"/>
      <c r="X35" s="246"/>
      <c r="Y35" s="242"/>
      <c r="Z35" s="242"/>
      <c r="AA35" s="242"/>
      <c r="AB35" s="242"/>
      <c r="AC35" s="242"/>
      <c r="AD35" s="242"/>
    </row>
    <row r="36" spans="1:31" ht="15.75" x14ac:dyDescent="0.25">
      <c r="A36" s="230">
        <v>1</v>
      </c>
      <c r="B36" s="235">
        <v>2</v>
      </c>
      <c r="C36" s="232">
        <v>3</v>
      </c>
      <c r="D36" s="235">
        <v>4</v>
      </c>
      <c r="E36" s="232">
        <v>5</v>
      </c>
      <c r="F36" s="235">
        <v>6</v>
      </c>
      <c r="G36" s="232">
        <v>7</v>
      </c>
      <c r="H36" s="235">
        <v>8</v>
      </c>
      <c r="I36" s="232">
        <v>9</v>
      </c>
      <c r="J36" s="235">
        <v>10</v>
      </c>
      <c r="K36" s="232">
        <v>11</v>
      </c>
      <c r="L36" s="235">
        <v>12</v>
      </c>
      <c r="M36" s="232">
        <v>13</v>
      </c>
      <c r="N36" s="235">
        <v>14</v>
      </c>
      <c r="O36" s="232">
        <v>15</v>
      </c>
      <c r="P36" s="235">
        <v>16</v>
      </c>
      <c r="Q36" s="232">
        <v>17</v>
      </c>
      <c r="R36" s="235">
        <v>18</v>
      </c>
      <c r="S36" s="232">
        <v>19</v>
      </c>
      <c r="T36" s="235">
        <v>20</v>
      </c>
      <c r="U36" s="232">
        <v>21</v>
      </c>
      <c r="V36" s="235">
        <v>22</v>
      </c>
      <c r="W36" s="232">
        <v>23</v>
      </c>
      <c r="X36" s="235">
        <v>24</v>
      </c>
      <c r="Y36" s="232">
        <v>25</v>
      </c>
      <c r="Z36" s="235">
        <v>26</v>
      </c>
      <c r="AA36" s="232">
        <v>27</v>
      </c>
      <c r="AB36" s="235">
        <v>28</v>
      </c>
      <c r="AC36" s="232">
        <v>29</v>
      </c>
      <c r="AD36" s="235">
        <v>30</v>
      </c>
    </row>
    <row r="37" spans="1:31" ht="25.5" x14ac:dyDescent="0.35">
      <c r="A37" s="305" t="s">
        <v>72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</row>
    <row r="38" spans="1:31" ht="52.5" customHeight="1" x14ac:dyDescent="0.25">
      <c r="A38" s="230" t="s">
        <v>60</v>
      </c>
      <c r="B38" s="235" t="s">
        <v>150</v>
      </c>
      <c r="C38" s="235" t="s">
        <v>151</v>
      </c>
      <c r="D38" s="235" t="s">
        <v>45</v>
      </c>
      <c r="E38" s="223">
        <v>1</v>
      </c>
      <c r="F38" s="20">
        <f t="shared" ref="F38" si="16">SUM(G38,M38,Q38,R38,S38,T38,V38,W38,X38,AD38,P38,U38)</f>
        <v>382899.51</v>
      </c>
      <c r="G38" s="20">
        <f t="shared" ref="G38" si="17">SUM(H38:L38)</f>
        <v>273188.62</v>
      </c>
      <c r="H38" s="22">
        <f>209822.29</f>
        <v>209822.29</v>
      </c>
      <c r="I38" s="20">
        <v>0</v>
      </c>
      <c r="J38" s="20">
        <v>0</v>
      </c>
      <c r="K38" s="20">
        <f t="shared" ref="K38" si="18">ROUND(H38*0.302,2)</f>
        <v>63366.33</v>
      </c>
      <c r="L38" s="25">
        <v>0</v>
      </c>
      <c r="M38" s="22">
        <v>14262.79</v>
      </c>
      <c r="N38" s="22">
        <v>0</v>
      </c>
      <c r="O38" s="22">
        <v>0</v>
      </c>
      <c r="P38" s="22">
        <v>0</v>
      </c>
      <c r="Q38" s="22">
        <v>3318.38</v>
      </c>
      <c r="R38" s="22">
        <f>543.67+1</f>
        <v>544.66999999999996</v>
      </c>
      <c r="S38" s="22">
        <v>517.92999999999995</v>
      </c>
      <c r="T38" s="22">
        <v>3856.77</v>
      </c>
      <c r="U38" s="22">
        <v>0</v>
      </c>
      <c r="V38" s="22">
        <v>393.44</v>
      </c>
      <c r="W38" s="22">
        <v>0</v>
      </c>
      <c r="X38" s="20">
        <f>SUM(Y38:AC38)</f>
        <v>56618.460000000006</v>
      </c>
      <c r="Y38" s="22">
        <v>43485.760000000002</v>
      </c>
      <c r="Z38" s="20">
        <v>0</v>
      </c>
      <c r="AA38" s="20">
        <v>0</v>
      </c>
      <c r="AB38" s="20">
        <f t="shared" ref="AB38" si="19">ROUND(Y38*0.302,2)</f>
        <v>13132.7</v>
      </c>
      <c r="AC38" s="20">
        <v>0</v>
      </c>
      <c r="AD38" s="22">
        <v>30198.45</v>
      </c>
    </row>
    <row r="39" spans="1:31" ht="25.5" x14ac:dyDescent="0.35">
      <c r="A39" s="316" t="s">
        <v>86</v>
      </c>
      <c r="B39" s="317"/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7"/>
      <c r="O39" s="317"/>
      <c r="P39" s="317"/>
      <c r="Q39" s="317"/>
      <c r="R39" s="317"/>
      <c r="S39" s="317"/>
      <c r="T39" s="317"/>
      <c r="U39" s="317"/>
      <c r="V39" s="317"/>
      <c r="W39" s="317"/>
      <c r="X39" s="317"/>
      <c r="Y39" s="317"/>
      <c r="Z39" s="317"/>
      <c r="AA39" s="317"/>
      <c r="AB39" s="317"/>
      <c r="AC39" s="317"/>
      <c r="AD39" s="317"/>
      <c r="AE39" s="317"/>
    </row>
    <row r="40" spans="1:31" ht="58.5" customHeight="1" x14ac:dyDescent="0.25">
      <c r="A40" s="230" t="s">
        <v>60</v>
      </c>
      <c r="B40" s="235" t="s">
        <v>150</v>
      </c>
      <c r="C40" s="235" t="s">
        <v>151</v>
      </c>
      <c r="D40" s="235" t="s">
        <v>45</v>
      </c>
      <c r="E40" s="223">
        <v>1</v>
      </c>
      <c r="F40" s="20">
        <v>380371.12</v>
      </c>
      <c r="G40" s="20">
        <v>270910.24</v>
      </c>
      <c r="H40" s="22">
        <v>208072.38</v>
      </c>
      <c r="I40" s="20">
        <v>0</v>
      </c>
      <c r="J40" s="20">
        <v>0</v>
      </c>
      <c r="K40" s="20">
        <v>62837.86</v>
      </c>
      <c r="L40" s="25">
        <v>0</v>
      </c>
      <c r="M40" s="20">
        <v>14262.79</v>
      </c>
      <c r="N40" s="20">
        <v>0</v>
      </c>
      <c r="O40" s="20">
        <v>0</v>
      </c>
      <c r="P40" s="20">
        <v>0</v>
      </c>
      <c r="Q40" s="20">
        <v>3318.38</v>
      </c>
      <c r="R40" s="20">
        <v>294.66000000000003</v>
      </c>
      <c r="S40" s="20">
        <v>517.92999999999995</v>
      </c>
      <c r="T40" s="20">
        <v>3856.77</v>
      </c>
      <c r="U40" s="20">
        <v>0</v>
      </c>
      <c r="V40" s="20">
        <v>393.44</v>
      </c>
      <c r="W40" s="20">
        <v>0</v>
      </c>
      <c r="X40" s="20">
        <v>56618.460000000006</v>
      </c>
      <c r="Y40" s="20">
        <v>43485.760000000002</v>
      </c>
      <c r="Z40" s="20">
        <v>0</v>
      </c>
      <c r="AA40" s="20">
        <v>0</v>
      </c>
      <c r="AB40" s="20">
        <v>13132.7</v>
      </c>
      <c r="AC40" s="20">
        <v>0</v>
      </c>
      <c r="AD40" s="20">
        <v>30198.45</v>
      </c>
    </row>
  </sheetData>
  <mergeCells count="85">
    <mergeCell ref="A37:AE37"/>
    <mergeCell ref="A39:AE39"/>
    <mergeCell ref="A1:AE1"/>
    <mergeCell ref="A3:A9"/>
    <mergeCell ref="B3:B9"/>
    <mergeCell ref="C3:D3"/>
    <mergeCell ref="F3:AD3"/>
    <mergeCell ref="AE3:AE9"/>
    <mergeCell ref="C4:C9"/>
    <mergeCell ref="D4:D9"/>
    <mergeCell ref="H7:H9"/>
    <mergeCell ref="E4:E9"/>
    <mergeCell ref="F4:F9"/>
    <mergeCell ref="G4:AD4"/>
    <mergeCell ref="G5:L5"/>
    <mergeCell ref="M5:O7"/>
    <mergeCell ref="A11:AE11"/>
    <mergeCell ref="I7:I9"/>
    <mergeCell ref="J7:J9"/>
    <mergeCell ref="K7:K9"/>
    <mergeCell ref="L7:L9"/>
    <mergeCell ref="Y7:Y9"/>
    <mergeCell ref="Z7:Z9"/>
    <mergeCell ref="U5:U9"/>
    <mergeCell ref="V5:V9"/>
    <mergeCell ref="W5:W9"/>
    <mergeCell ref="X5:AC5"/>
    <mergeCell ref="AD5:AD9"/>
    <mergeCell ref="G6:G9"/>
    <mergeCell ref="H6:L6"/>
    <mergeCell ref="X6:X9"/>
    <mergeCell ref="Y6:AC6"/>
    <mergeCell ref="AA7:AA9"/>
    <mergeCell ref="AB7:AB9"/>
    <mergeCell ref="AC7:AC9"/>
    <mergeCell ref="M8:M9"/>
    <mergeCell ref="N8:O8"/>
    <mergeCell ref="R5:R9"/>
    <mergeCell ref="S5:S9"/>
    <mergeCell ref="T5:T9"/>
    <mergeCell ref="P5:P9"/>
    <mergeCell ref="Q5:Q9"/>
    <mergeCell ref="A16:AE16"/>
    <mergeCell ref="A21:AE21"/>
    <mergeCell ref="A12:A15"/>
    <mergeCell ref="A17:A20"/>
    <mergeCell ref="A22:A25"/>
    <mergeCell ref="A27:AE27"/>
    <mergeCell ref="A29:A35"/>
    <mergeCell ref="B29:B35"/>
    <mergeCell ref="C29:E29"/>
    <mergeCell ref="F29:AD29"/>
    <mergeCell ref="C30:C35"/>
    <mergeCell ref="D30:D35"/>
    <mergeCell ref="E30:E35"/>
    <mergeCell ref="F30:F35"/>
    <mergeCell ref="G30:AD30"/>
    <mergeCell ref="G31:L31"/>
    <mergeCell ref="M31:O33"/>
    <mergeCell ref="P31:P35"/>
    <mergeCell ref="Q31:Q35"/>
    <mergeCell ref="R31:R35"/>
    <mergeCell ref="S31:S35"/>
    <mergeCell ref="AD31:AD35"/>
    <mergeCell ref="G32:G35"/>
    <mergeCell ref="H32:L32"/>
    <mergeCell ref="X32:X35"/>
    <mergeCell ref="Y32:AC32"/>
    <mergeCell ref="H33:H35"/>
    <mergeCell ref="I33:I35"/>
    <mergeCell ref="J33:J35"/>
    <mergeCell ref="K33:K35"/>
    <mergeCell ref="L33:L35"/>
    <mergeCell ref="Y33:Y35"/>
    <mergeCell ref="U31:U35"/>
    <mergeCell ref="V31:V35"/>
    <mergeCell ref="W31:W35"/>
    <mergeCell ref="X31:AC31"/>
    <mergeCell ref="AA33:AA35"/>
    <mergeCell ref="AB33:AB35"/>
    <mergeCell ref="AC33:AC35"/>
    <mergeCell ref="M34:M35"/>
    <mergeCell ref="N34:O34"/>
    <mergeCell ref="Z33:Z35"/>
    <mergeCell ref="T31:T35"/>
  </mergeCells>
  <pageMargins left="0.25" right="0.25" top="0.75" bottom="0.75" header="0.3" footer="0.3"/>
  <pageSetup paperSize="9" scale="22" fitToHeight="0" orientation="landscape" r:id="rId1"/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M45"/>
  <sheetViews>
    <sheetView view="pageBreakPreview" zoomScale="70" zoomScaleNormal="55" zoomScaleSheetLayoutView="70" workbookViewId="0">
      <pane xSplit="5" ySplit="10" topLeftCell="Y23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28.8554687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</row>
    <row r="3" spans="1:39" ht="15.75" customHeight="1" x14ac:dyDescent="0.25">
      <c r="A3" s="247" t="s">
        <v>0</v>
      </c>
      <c r="B3" s="243" t="s">
        <v>1</v>
      </c>
      <c r="C3" s="248" t="s">
        <v>2</v>
      </c>
      <c r="D3" s="248"/>
      <c r="E3" s="10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4</v>
      </c>
      <c r="AF3" s="243" t="s">
        <v>5</v>
      </c>
      <c r="AG3" s="244" t="s">
        <v>6</v>
      </c>
    </row>
    <row r="4" spans="1:39" ht="15.75" customHeight="1" x14ac:dyDescent="0.25">
      <c r="A4" s="238"/>
      <c r="B4" s="242"/>
      <c r="C4" s="249" t="s">
        <v>7</v>
      </c>
      <c r="D4" s="249" t="s">
        <v>8</v>
      </c>
      <c r="E4" s="249" t="s">
        <v>9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  <c r="AF4" s="242"/>
      <c r="AG4" s="245"/>
    </row>
    <row r="5" spans="1:39" ht="15" customHeight="1" x14ac:dyDescent="0.25">
      <c r="A5" s="238"/>
      <c r="B5" s="242"/>
      <c r="C5" s="249"/>
      <c r="D5" s="249"/>
      <c r="E5" s="249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  <c r="AF5" s="242"/>
      <c r="AG5" s="245"/>
    </row>
    <row r="6" spans="1:39" ht="15.75" x14ac:dyDescent="0.25">
      <c r="A6" s="238"/>
      <c r="B6" s="242"/>
      <c r="C6" s="249"/>
      <c r="D6" s="249"/>
      <c r="E6" s="249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  <c r="AF6" s="242"/>
      <c r="AG6" s="245"/>
    </row>
    <row r="7" spans="1:39" ht="15" customHeight="1" x14ac:dyDescent="0.25">
      <c r="A7" s="238"/>
      <c r="B7" s="242"/>
      <c r="C7" s="249"/>
      <c r="D7" s="249"/>
      <c r="E7" s="249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  <c r="AF7" s="242"/>
      <c r="AG7" s="245"/>
    </row>
    <row r="8" spans="1:39" ht="15.75" x14ac:dyDescent="0.25">
      <c r="A8" s="238"/>
      <c r="B8" s="242"/>
      <c r="C8" s="249"/>
      <c r="D8" s="249"/>
      <c r="E8" s="249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  <c r="AF8" s="242"/>
      <c r="AG8" s="245"/>
    </row>
    <row r="9" spans="1:39" ht="94.5" x14ac:dyDescent="0.25">
      <c r="A9" s="238"/>
      <c r="B9" s="242"/>
      <c r="C9" s="249"/>
      <c r="D9" s="249"/>
      <c r="E9" s="249"/>
      <c r="F9" s="246"/>
      <c r="G9" s="246"/>
      <c r="H9" s="242"/>
      <c r="I9" s="242"/>
      <c r="J9" s="242"/>
      <c r="K9" s="242"/>
      <c r="L9" s="242"/>
      <c r="M9" s="246"/>
      <c r="N9" s="11" t="s">
        <v>33</v>
      </c>
      <c r="O9" s="11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  <c r="AF9" s="242"/>
      <c r="AG9" s="245"/>
      <c r="AH9" s="44" t="s">
        <v>67</v>
      </c>
      <c r="AI9" s="45" t="s">
        <v>66</v>
      </c>
    </row>
    <row r="10" spans="1:39" ht="15.75" x14ac:dyDescent="0.25">
      <c r="A10" s="12">
        <v>1</v>
      </c>
      <c r="B10" s="13">
        <v>2</v>
      </c>
      <c r="C10" s="14">
        <v>3</v>
      </c>
      <c r="D10" s="13">
        <v>4</v>
      </c>
      <c r="E10" s="14">
        <v>5</v>
      </c>
      <c r="F10" s="13">
        <v>6</v>
      </c>
      <c r="G10" s="14">
        <v>7</v>
      </c>
      <c r="H10" s="13">
        <v>8</v>
      </c>
      <c r="I10" s="14">
        <v>9</v>
      </c>
      <c r="J10" s="13">
        <v>10</v>
      </c>
      <c r="K10" s="14">
        <v>11</v>
      </c>
      <c r="L10" s="13">
        <v>12</v>
      </c>
      <c r="M10" s="14">
        <v>13</v>
      </c>
      <c r="N10" s="11">
        <v>14</v>
      </c>
      <c r="O10" s="13">
        <v>15</v>
      </c>
      <c r="P10" s="13">
        <f>O10+1</f>
        <v>16</v>
      </c>
      <c r="Q10" s="13">
        <f t="shared" ref="Q10:AD10" si="0">P10+1</f>
        <v>17</v>
      </c>
      <c r="R10" s="13">
        <f t="shared" si="0"/>
        <v>18</v>
      </c>
      <c r="S10" s="13">
        <f t="shared" si="0"/>
        <v>19</v>
      </c>
      <c r="T10" s="13">
        <f t="shared" si="0"/>
        <v>20</v>
      </c>
      <c r="U10" s="13">
        <f t="shared" si="0"/>
        <v>21</v>
      </c>
      <c r="V10" s="13">
        <f t="shared" si="0"/>
        <v>22</v>
      </c>
      <c r="W10" s="13">
        <f t="shared" si="0"/>
        <v>23</v>
      </c>
      <c r="X10" s="13">
        <f t="shared" si="0"/>
        <v>24</v>
      </c>
      <c r="Y10" s="13">
        <f t="shared" si="0"/>
        <v>25</v>
      </c>
      <c r="Z10" s="13">
        <f t="shared" si="0"/>
        <v>26</v>
      </c>
      <c r="AA10" s="13">
        <f t="shared" si="0"/>
        <v>27</v>
      </c>
      <c r="AB10" s="13">
        <f t="shared" si="0"/>
        <v>28</v>
      </c>
      <c r="AC10" s="13">
        <f t="shared" si="0"/>
        <v>29</v>
      </c>
      <c r="AD10" s="13">
        <f t="shared" si="0"/>
        <v>30</v>
      </c>
      <c r="AE10" s="13">
        <f>AF10+1</f>
        <v>32</v>
      </c>
      <c r="AF10" s="13">
        <f>AD10+1</f>
        <v>31</v>
      </c>
      <c r="AG10" s="15"/>
      <c r="AH10" s="46"/>
    </row>
    <row r="11" spans="1:39" s="1" customFormat="1" ht="94.5" x14ac:dyDescent="0.25">
      <c r="A11" s="16" t="s">
        <v>35</v>
      </c>
      <c r="B11" s="17" t="s">
        <v>36</v>
      </c>
      <c r="C11" s="17" t="s">
        <v>37</v>
      </c>
      <c r="D11" s="18" t="s">
        <v>38</v>
      </c>
      <c r="E11" s="19">
        <v>104782</v>
      </c>
      <c r="F11" s="20">
        <f t="shared" ref="F11:F41" si="1">SUM(G11,M11,Q11,R11,S11,T11,V11,W11,X11,AD11,P11,U11)</f>
        <v>3837.94364</v>
      </c>
      <c r="G11" s="20">
        <f t="shared" ref="G11:G41" si="2">SUM(H11:L11)</f>
        <v>1654.3</v>
      </c>
      <c r="H11" s="21">
        <v>1270.58</v>
      </c>
      <c r="I11" s="22">
        <v>0</v>
      </c>
      <c r="J11" s="22">
        <v>0</v>
      </c>
      <c r="K11" s="20">
        <f t="shared" ref="K11:K41" si="3">ROUND(H11*0.302,2)</f>
        <v>383.72</v>
      </c>
      <c r="L11" s="22">
        <v>0</v>
      </c>
      <c r="M11" s="22">
        <f>193.85+0.44664</f>
        <v>194.29664</v>
      </c>
      <c r="N11" s="22">
        <v>0</v>
      </c>
      <c r="O11" s="22">
        <v>60.88</v>
      </c>
      <c r="P11" s="22">
        <v>0</v>
      </c>
      <c r="Q11" s="22">
        <v>0.99</v>
      </c>
      <c r="R11" s="21">
        <v>188.44</v>
      </c>
      <c r="S11" s="22">
        <v>85.33</v>
      </c>
      <c r="T11" s="22">
        <f>506.48-216.73-4.673</f>
        <v>285.077</v>
      </c>
      <c r="U11" s="22">
        <v>0</v>
      </c>
      <c r="V11" s="22">
        <v>17.22</v>
      </c>
      <c r="W11" s="22">
        <v>0</v>
      </c>
      <c r="X11" s="20">
        <f t="shared" ref="X11:X41" si="4">SUM(Y11:AC11)</f>
        <v>1351.25</v>
      </c>
      <c r="Y11" s="22">
        <v>1037.83</v>
      </c>
      <c r="Z11" s="22">
        <v>0</v>
      </c>
      <c r="AA11" s="22">
        <v>0</v>
      </c>
      <c r="AB11" s="20">
        <f t="shared" ref="AB11:AB41" si="5">ROUND(Y11*0.302,2)</f>
        <v>313.42</v>
      </c>
      <c r="AC11" s="22">
        <v>0</v>
      </c>
      <c r="AD11" s="22">
        <v>61.04</v>
      </c>
      <c r="AE11" s="20">
        <f t="shared" ref="AE11:AE41" si="6">ROUND(E11*F11/1000,1)</f>
        <v>402147.4</v>
      </c>
      <c r="AF11" s="22">
        <v>761.2</v>
      </c>
      <c r="AG11" s="241">
        <f>ROUND(AE11+AE12+AE13+AF11,1)</f>
        <v>420226.6</v>
      </c>
      <c r="AH11" s="47">
        <f>(G11+X11)*E11/1000</f>
        <v>314927.54010000004</v>
      </c>
      <c r="AI11" s="55">
        <v>317103.33833</v>
      </c>
      <c r="AJ11" s="6"/>
      <c r="AK11" s="55">
        <f>ROUND(AG11/1000,1)</f>
        <v>420.2</v>
      </c>
      <c r="AM11" s="8"/>
    </row>
    <row r="12" spans="1:39" s="1" customFormat="1" ht="78.75" x14ac:dyDescent="0.25">
      <c r="A12" s="16" t="s">
        <v>35</v>
      </c>
      <c r="B12" s="17" t="s">
        <v>39</v>
      </c>
      <c r="C12" s="17" t="s">
        <v>40</v>
      </c>
      <c r="D12" s="18" t="s">
        <v>38</v>
      </c>
      <c r="E12" s="19">
        <v>241</v>
      </c>
      <c r="F12" s="20">
        <f>SUM(G12,M12,Q12,R12,S12,T12,V12,W12,X12,AD12,P12,U12)</f>
        <v>29940.260000000006</v>
      </c>
      <c r="G12" s="20">
        <f t="shared" si="2"/>
        <v>25716.06</v>
      </c>
      <c r="H12" s="22">
        <v>19751.2</v>
      </c>
      <c r="I12" s="22">
        <v>0</v>
      </c>
      <c r="J12" s="22">
        <v>0</v>
      </c>
      <c r="K12" s="20">
        <f t="shared" si="3"/>
        <v>5964.86</v>
      </c>
      <c r="L12" s="22">
        <v>0</v>
      </c>
      <c r="M12" s="22">
        <v>230.25</v>
      </c>
      <c r="N12" s="22">
        <v>0</v>
      </c>
      <c r="O12" s="22">
        <v>36.64</v>
      </c>
      <c r="P12" s="22">
        <v>0</v>
      </c>
      <c r="Q12" s="22">
        <v>51</v>
      </c>
      <c r="R12" s="22">
        <v>108.74</v>
      </c>
      <c r="S12" s="22">
        <v>519.36</v>
      </c>
      <c r="T12" s="22">
        <v>217.41</v>
      </c>
      <c r="U12" s="22">
        <v>0</v>
      </c>
      <c r="V12" s="22">
        <v>12.14</v>
      </c>
      <c r="W12" s="22">
        <v>0</v>
      </c>
      <c r="X12" s="20">
        <f t="shared" si="4"/>
        <v>2556.4</v>
      </c>
      <c r="Y12" s="22">
        <v>1963.44</v>
      </c>
      <c r="Z12" s="22">
        <v>0</v>
      </c>
      <c r="AA12" s="22">
        <v>0</v>
      </c>
      <c r="AB12" s="20">
        <f t="shared" si="5"/>
        <v>592.96</v>
      </c>
      <c r="AC12" s="22">
        <v>0</v>
      </c>
      <c r="AD12" s="22">
        <v>528.9</v>
      </c>
      <c r="AE12" s="20">
        <f>ROUND(E12*F12/1000,1)</f>
        <v>7215.6</v>
      </c>
      <c r="AF12" s="22">
        <v>0</v>
      </c>
      <c r="AG12" s="241"/>
      <c r="AH12" s="47">
        <f t="shared" ref="AH12:AH41" si="7">(G12+X12)*E12/1000</f>
        <v>6813.6628600000004</v>
      </c>
      <c r="AI12" s="55">
        <v>6860.7111209999994</v>
      </c>
      <c r="AJ12" s="6"/>
      <c r="AK12" s="7"/>
      <c r="AM12" s="8"/>
    </row>
    <row r="13" spans="1:39" s="1" customFormat="1" ht="78.75" x14ac:dyDescent="0.25">
      <c r="A13" s="23" t="s">
        <v>35</v>
      </c>
      <c r="B13" s="17" t="s">
        <v>41</v>
      </c>
      <c r="C13" s="24" t="s">
        <v>42</v>
      </c>
      <c r="D13" s="18" t="s">
        <v>38</v>
      </c>
      <c r="E13" s="19">
        <v>90</v>
      </c>
      <c r="F13" s="20">
        <f t="shared" si="1"/>
        <v>112248.58</v>
      </c>
      <c r="G13" s="20">
        <f t="shared" si="2"/>
        <v>77951.51999999999</v>
      </c>
      <c r="H13" s="21">
        <v>59870.6</v>
      </c>
      <c r="I13" s="22">
        <v>0</v>
      </c>
      <c r="J13" s="22">
        <v>0</v>
      </c>
      <c r="K13" s="20">
        <f t="shared" si="3"/>
        <v>18080.919999999998</v>
      </c>
      <c r="L13" s="22">
        <v>0</v>
      </c>
      <c r="M13" s="22">
        <v>846.83</v>
      </c>
      <c r="N13" s="22">
        <v>0</v>
      </c>
      <c r="O13" s="22">
        <v>77.099999999999994</v>
      </c>
      <c r="P13" s="22">
        <v>0</v>
      </c>
      <c r="Q13" s="22">
        <v>11477.33</v>
      </c>
      <c r="R13" s="22">
        <v>429.42</v>
      </c>
      <c r="S13" s="22">
        <v>1132.3599999999999</v>
      </c>
      <c r="T13" s="22">
        <f>13251.83-6393.33</f>
        <v>6858.5</v>
      </c>
      <c r="U13" s="22">
        <v>0</v>
      </c>
      <c r="V13" s="22">
        <v>62.22</v>
      </c>
      <c r="W13" s="22">
        <v>0</v>
      </c>
      <c r="X13" s="20">
        <f t="shared" si="4"/>
        <v>11018.27</v>
      </c>
      <c r="Y13" s="22">
        <v>8462.57</v>
      </c>
      <c r="Z13" s="22">
        <v>0</v>
      </c>
      <c r="AA13" s="22">
        <v>0</v>
      </c>
      <c r="AB13" s="20">
        <f t="shared" si="5"/>
        <v>2555.6999999999998</v>
      </c>
      <c r="AC13" s="22">
        <v>0</v>
      </c>
      <c r="AD13" s="22">
        <v>2472.13</v>
      </c>
      <c r="AE13" s="20">
        <f t="shared" si="6"/>
        <v>10102.4</v>
      </c>
      <c r="AF13" s="22">
        <v>0</v>
      </c>
      <c r="AG13" s="241"/>
      <c r="AH13" s="47">
        <f t="shared" si="7"/>
        <v>8007.2810999999992</v>
      </c>
      <c r="AI13" s="55">
        <v>8062.5699000000004</v>
      </c>
      <c r="AJ13" s="6"/>
      <c r="AK13" s="7"/>
      <c r="AM13" s="8"/>
    </row>
    <row r="14" spans="1:39" s="1" customFormat="1" ht="94.5" x14ac:dyDescent="0.25">
      <c r="A14" s="16" t="s">
        <v>43</v>
      </c>
      <c r="B14" s="17" t="s">
        <v>36</v>
      </c>
      <c r="C14" s="17" t="s">
        <v>37</v>
      </c>
      <c r="D14" s="17" t="s">
        <v>38</v>
      </c>
      <c r="E14" s="19">
        <v>46346</v>
      </c>
      <c r="F14" s="20">
        <f t="shared" si="1"/>
        <v>4058.672</v>
      </c>
      <c r="G14" s="20">
        <f t="shared" si="2"/>
        <v>1943.48</v>
      </c>
      <c r="H14" s="20">
        <v>1492.69</v>
      </c>
      <c r="I14" s="25">
        <v>0</v>
      </c>
      <c r="J14" s="25">
        <v>0</v>
      </c>
      <c r="K14" s="20">
        <f t="shared" si="3"/>
        <v>450.79</v>
      </c>
      <c r="L14" s="25">
        <v>0</v>
      </c>
      <c r="M14" s="21">
        <f>227.52+0.002</f>
        <v>227.52200000000002</v>
      </c>
      <c r="N14" s="20">
        <v>61.36</v>
      </c>
      <c r="O14" s="25">
        <v>3.34</v>
      </c>
      <c r="P14" s="26">
        <v>0</v>
      </c>
      <c r="Q14" s="25">
        <v>156.4</v>
      </c>
      <c r="R14" s="20">
        <f>294.76-150</f>
        <v>144.76</v>
      </c>
      <c r="S14" s="25">
        <v>117.26</v>
      </c>
      <c r="T14" s="25">
        <v>93.7</v>
      </c>
      <c r="U14" s="20">
        <v>0</v>
      </c>
      <c r="V14" s="25">
        <v>20.64</v>
      </c>
      <c r="W14" s="25">
        <v>0</v>
      </c>
      <c r="X14" s="20">
        <f t="shared" si="4"/>
        <v>1282.73</v>
      </c>
      <c r="Y14" s="27">
        <v>985.2</v>
      </c>
      <c r="Z14" s="27">
        <v>0</v>
      </c>
      <c r="AA14" s="27">
        <v>0</v>
      </c>
      <c r="AB14" s="20">
        <f t="shared" si="5"/>
        <v>297.52999999999997</v>
      </c>
      <c r="AC14" s="25">
        <v>0</v>
      </c>
      <c r="AD14" s="25">
        <f>154.87-82.69</f>
        <v>72.180000000000007</v>
      </c>
      <c r="AE14" s="20">
        <f t="shared" si="6"/>
        <v>188103.2</v>
      </c>
      <c r="AF14" s="25">
        <v>301.7</v>
      </c>
      <c r="AG14" s="237">
        <f>ROUND(AF14+AE15+AE16+AE14,1)</f>
        <v>196243</v>
      </c>
      <c r="AH14" s="47">
        <f t="shared" si="7"/>
        <v>149521.92866000001</v>
      </c>
      <c r="AI14" s="55">
        <v>150554.51754</v>
      </c>
      <c r="AJ14" s="6"/>
      <c r="AK14" s="55">
        <f>ROUND(AG14/1000,1)</f>
        <v>196.2</v>
      </c>
      <c r="AM14" s="8"/>
    </row>
    <row r="15" spans="1:39" s="1" customFormat="1" ht="78.75" x14ac:dyDescent="0.25">
      <c r="A15" s="16" t="s">
        <v>43</v>
      </c>
      <c r="B15" s="17" t="s">
        <v>39</v>
      </c>
      <c r="C15" s="17" t="s">
        <v>40</v>
      </c>
      <c r="D15" s="17" t="s">
        <v>38</v>
      </c>
      <c r="E15" s="19">
        <v>233</v>
      </c>
      <c r="F15" s="20">
        <f t="shared" si="1"/>
        <v>30859.97</v>
      </c>
      <c r="G15" s="20">
        <f t="shared" si="2"/>
        <v>5489.09</v>
      </c>
      <c r="H15" s="20">
        <v>4215.8900000000003</v>
      </c>
      <c r="I15" s="25">
        <v>0</v>
      </c>
      <c r="J15" s="25">
        <v>0</v>
      </c>
      <c r="K15" s="20">
        <f t="shared" si="3"/>
        <v>1273.2</v>
      </c>
      <c r="L15" s="25">
        <v>0</v>
      </c>
      <c r="M15" s="25">
        <v>6623.61</v>
      </c>
      <c r="N15" s="20">
        <v>5855.04</v>
      </c>
      <c r="O15" s="25">
        <v>663.14</v>
      </c>
      <c r="P15" s="26">
        <v>0</v>
      </c>
      <c r="Q15" s="25">
        <f>2374.46-448.93</f>
        <v>1925.53</v>
      </c>
      <c r="R15" s="20">
        <v>175.14</v>
      </c>
      <c r="S15" s="25">
        <v>107.93</v>
      </c>
      <c r="T15" s="25">
        <v>48.95</v>
      </c>
      <c r="U15" s="20">
        <v>0</v>
      </c>
      <c r="V15" s="25">
        <v>38.43</v>
      </c>
      <c r="W15" s="25">
        <v>15570.82</v>
      </c>
      <c r="X15" s="20">
        <f t="shared" si="4"/>
        <v>744.81</v>
      </c>
      <c r="Y15" s="27">
        <v>572.04999999999995</v>
      </c>
      <c r="Z15" s="27">
        <v>0</v>
      </c>
      <c r="AA15" s="27">
        <v>0</v>
      </c>
      <c r="AB15" s="20">
        <f t="shared" si="5"/>
        <v>172.76</v>
      </c>
      <c r="AC15" s="25">
        <v>0</v>
      </c>
      <c r="AD15" s="25">
        <v>135.66</v>
      </c>
      <c r="AE15" s="20">
        <f t="shared" si="6"/>
        <v>7190.4</v>
      </c>
      <c r="AF15" s="25">
        <v>0</v>
      </c>
      <c r="AG15" s="237"/>
      <c r="AH15" s="47">
        <f t="shared" si="7"/>
        <v>1452.4986999999999</v>
      </c>
      <c r="AI15" s="55">
        <v>1462.52702</v>
      </c>
      <c r="AJ15" s="6"/>
      <c r="AK15" s="7"/>
      <c r="AM15" s="8"/>
    </row>
    <row r="16" spans="1:39" s="1" customFormat="1" ht="78.75" x14ac:dyDescent="0.25">
      <c r="A16" s="16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323871.60000000009</v>
      </c>
      <c r="G16" s="20">
        <f t="shared" si="2"/>
        <v>314637.91000000003</v>
      </c>
      <c r="H16" s="20">
        <v>241657.38</v>
      </c>
      <c r="I16" s="20">
        <v>0</v>
      </c>
      <c r="J16" s="20">
        <v>0</v>
      </c>
      <c r="K16" s="20">
        <f t="shared" si="3"/>
        <v>72980.53</v>
      </c>
      <c r="L16" s="20">
        <v>0</v>
      </c>
      <c r="M16" s="20">
        <f>28769.2-22750</f>
        <v>6019.2000000000007</v>
      </c>
      <c r="N16" s="20">
        <v>0</v>
      </c>
      <c r="O16" s="20">
        <v>1132.1500000000001</v>
      </c>
      <c r="P16" s="20">
        <v>0</v>
      </c>
      <c r="Q16" s="20">
        <v>800</v>
      </c>
      <c r="R16" s="20">
        <v>475.34</v>
      </c>
      <c r="S16" s="20">
        <v>179.78</v>
      </c>
      <c r="T16" s="20">
        <v>0</v>
      </c>
      <c r="U16" s="20">
        <v>0</v>
      </c>
      <c r="V16" s="20">
        <v>24.06</v>
      </c>
      <c r="W16" s="20">
        <v>0</v>
      </c>
      <c r="X16" s="20">
        <f t="shared" si="4"/>
        <v>1735.31</v>
      </c>
      <c r="Y16" s="20">
        <v>1332.8</v>
      </c>
      <c r="Z16" s="20">
        <v>0</v>
      </c>
      <c r="AA16" s="20">
        <v>0</v>
      </c>
      <c r="AB16" s="20">
        <f t="shared" si="5"/>
        <v>402.51</v>
      </c>
      <c r="AC16" s="25">
        <v>0</v>
      </c>
      <c r="AD16" s="25">
        <v>0</v>
      </c>
      <c r="AE16" s="20">
        <f t="shared" si="6"/>
        <v>647.70000000000005</v>
      </c>
      <c r="AF16" s="20">
        <v>0</v>
      </c>
      <c r="AG16" s="237"/>
      <c r="AH16" s="47">
        <f t="shared" si="7"/>
        <v>632.74644000000001</v>
      </c>
      <c r="AI16" s="55">
        <v>637.1154600000001</v>
      </c>
      <c r="AJ16" s="6"/>
      <c r="AK16" s="7"/>
      <c r="AM16" s="8"/>
    </row>
    <row r="17" spans="1:39" s="1" customFormat="1" ht="94.5" x14ac:dyDescent="0.25">
      <c r="A17" s="16" t="s">
        <v>44</v>
      </c>
      <c r="B17" s="17" t="s">
        <v>36</v>
      </c>
      <c r="C17" s="17" t="s">
        <v>37</v>
      </c>
      <c r="D17" s="17" t="s">
        <v>45</v>
      </c>
      <c r="E17" s="19">
        <v>80379</v>
      </c>
      <c r="F17" s="20">
        <f t="shared" si="1"/>
        <v>2727.2490000000003</v>
      </c>
      <c r="G17" s="20">
        <f t="shared" si="2"/>
        <v>1571.0800000000002</v>
      </c>
      <c r="H17" s="20">
        <v>1206.67</v>
      </c>
      <c r="I17" s="25">
        <v>0</v>
      </c>
      <c r="J17" s="25">
        <v>0</v>
      </c>
      <c r="K17" s="20">
        <f t="shared" si="3"/>
        <v>364.41</v>
      </c>
      <c r="L17" s="25">
        <v>0</v>
      </c>
      <c r="M17" s="21">
        <f>319.38-0.001</f>
        <v>319.37900000000002</v>
      </c>
      <c r="N17" s="25">
        <v>72.27</v>
      </c>
      <c r="O17" s="25">
        <v>55.79</v>
      </c>
      <c r="P17" s="26">
        <v>0</v>
      </c>
      <c r="Q17" s="25">
        <v>70.36</v>
      </c>
      <c r="R17" s="25">
        <v>84.51</v>
      </c>
      <c r="S17" s="25">
        <f>210.86-152.41</f>
        <v>58.450000000000017</v>
      </c>
      <c r="T17" s="25">
        <v>50.17</v>
      </c>
      <c r="U17" s="20">
        <v>0</v>
      </c>
      <c r="V17" s="25">
        <v>11.01</v>
      </c>
      <c r="W17" s="25">
        <v>0</v>
      </c>
      <c r="X17" s="20">
        <f t="shared" si="4"/>
        <v>548.26</v>
      </c>
      <c r="Y17" s="27">
        <v>421.09</v>
      </c>
      <c r="Z17" s="25">
        <v>0</v>
      </c>
      <c r="AA17" s="25">
        <v>0</v>
      </c>
      <c r="AB17" s="20">
        <f t="shared" si="5"/>
        <v>127.17</v>
      </c>
      <c r="AC17" s="25">
        <v>0</v>
      </c>
      <c r="AD17" s="25">
        <v>14.03</v>
      </c>
      <c r="AE17" s="20">
        <f t="shared" si="6"/>
        <v>219213.5</v>
      </c>
      <c r="AF17" s="25">
        <v>406.4</v>
      </c>
      <c r="AG17" s="237">
        <f>ROUND(AE17+AE18+AE19+AF17,1)</f>
        <v>225295.7</v>
      </c>
      <c r="AH17" s="47">
        <f t="shared" si="7"/>
        <v>170350.42986</v>
      </c>
      <c r="AI17" s="55">
        <v>171527.17841999998</v>
      </c>
      <c r="AJ17" s="6"/>
      <c r="AK17" s="55">
        <f>ROUND(AG17/1000,1)</f>
        <v>225.3</v>
      </c>
      <c r="AM17" s="8"/>
    </row>
    <row r="18" spans="1:39" s="1" customFormat="1" ht="78.75" x14ac:dyDescent="0.25">
      <c r="A18" s="16" t="s">
        <v>44</v>
      </c>
      <c r="B18" s="17" t="s">
        <v>39</v>
      </c>
      <c r="C18" s="17" t="s">
        <v>40</v>
      </c>
      <c r="D18" s="17" t="s">
        <v>45</v>
      </c>
      <c r="E18" s="19">
        <v>300</v>
      </c>
      <c r="F18" s="20">
        <f t="shared" si="1"/>
        <v>17292.489999999998</v>
      </c>
      <c r="G18" s="20">
        <f t="shared" si="2"/>
        <v>12421.25</v>
      </c>
      <c r="H18" s="20">
        <v>9540.1299999999992</v>
      </c>
      <c r="I18" s="25">
        <v>0</v>
      </c>
      <c r="J18" s="25">
        <v>0</v>
      </c>
      <c r="K18" s="20">
        <f t="shared" si="3"/>
        <v>2881.12</v>
      </c>
      <c r="L18" s="25">
        <v>0</v>
      </c>
      <c r="M18" s="25">
        <v>1175</v>
      </c>
      <c r="N18" s="25">
        <v>500</v>
      </c>
      <c r="O18" s="25">
        <v>483.33</v>
      </c>
      <c r="P18" s="26">
        <v>0</v>
      </c>
      <c r="Q18" s="25">
        <v>233.33</v>
      </c>
      <c r="R18" s="25">
        <v>205.23</v>
      </c>
      <c r="S18" s="25">
        <f>1815.12-993.33</f>
        <v>821.78999999999985</v>
      </c>
      <c r="T18" s="25">
        <v>0</v>
      </c>
      <c r="U18" s="20">
        <v>0</v>
      </c>
      <c r="V18" s="25">
        <v>68.83</v>
      </c>
      <c r="W18" s="25">
        <v>0</v>
      </c>
      <c r="X18" s="20">
        <f t="shared" si="4"/>
        <v>1400.3899999999999</v>
      </c>
      <c r="Y18" s="27">
        <v>1075.57</v>
      </c>
      <c r="Z18" s="25">
        <v>0</v>
      </c>
      <c r="AA18" s="25">
        <v>0</v>
      </c>
      <c r="AB18" s="20">
        <f t="shared" si="5"/>
        <v>324.82</v>
      </c>
      <c r="AC18" s="25">
        <v>0</v>
      </c>
      <c r="AD18" s="25">
        <v>966.67</v>
      </c>
      <c r="AE18" s="20">
        <f t="shared" si="6"/>
        <v>5187.7</v>
      </c>
      <c r="AF18" s="25">
        <v>0</v>
      </c>
      <c r="AG18" s="237"/>
      <c r="AH18" s="47">
        <f t="shared" si="7"/>
        <v>4146.4920000000002</v>
      </c>
      <c r="AI18" s="55">
        <v>4175.1239999999998</v>
      </c>
      <c r="AJ18" s="6"/>
      <c r="AK18" s="7"/>
      <c r="AM18" s="8"/>
    </row>
    <row r="19" spans="1:39" s="1" customFormat="1" ht="78.75" x14ac:dyDescent="0.25">
      <c r="A19" s="16" t="s">
        <v>44</v>
      </c>
      <c r="B19" s="17" t="s">
        <v>41</v>
      </c>
      <c r="C19" s="17" t="s">
        <v>42</v>
      </c>
      <c r="D19" s="17" t="s">
        <v>38</v>
      </c>
      <c r="E19" s="19">
        <v>1</v>
      </c>
      <c r="F19" s="20">
        <f t="shared" si="1"/>
        <v>488067.85000000003</v>
      </c>
      <c r="G19" s="20">
        <f t="shared" si="2"/>
        <v>267350.28000000003</v>
      </c>
      <c r="H19" s="20">
        <v>205338.16</v>
      </c>
      <c r="I19" s="25">
        <v>0</v>
      </c>
      <c r="J19" s="25">
        <v>0</v>
      </c>
      <c r="K19" s="20">
        <f t="shared" si="3"/>
        <v>62012.12</v>
      </c>
      <c r="L19" s="25">
        <v>0</v>
      </c>
      <c r="M19" s="25">
        <f>120172.86-24000</f>
        <v>96172.86</v>
      </c>
      <c r="N19" s="25">
        <f>M19-O19</f>
        <v>93272.86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66837.570000000007</v>
      </c>
      <c r="Y19" s="25">
        <v>51334.54</v>
      </c>
      <c r="Z19" s="20">
        <v>0</v>
      </c>
      <c r="AA19" s="27">
        <v>0</v>
      </c>
      <c r="AB19" s="20">
        <f t="shared" si="5"/>
        <v>15503.03</v>
      </c>
      <c r="AC19" s="25">
        <v>0</v>
      </c>
      <c r="AD19" s="25">
        <v>20000</v>
      </c>
      <c r="AE19" s="20">
        <f t="shared" si="6"/>
        <v>488.1</v>
      </c>
      <c r="AF19" s="25">
        <v>0</v>
      </c>
      <c r="AG19" s="237"/>
      <c r="AH19" s="47">
        <f t="shared" si="7"/>
        <v>334.18785000000003</v>
      </c>
      <c r="AI19" s="55">
        <v>336.49538999999999</v>
      </c>
      <c r="AJ19" s="6"/>
      <c r="AK19" s="7"/>
      <c r="AM19" s="8"/>
    </row>
    <row r="20" spans="1:39" s="1" customFormat="1" ht="94.5" x14ac:dyDescent="0.25">
      <c r="A20" s="16" t="s">
        <v>46</v>
      </c>
      <c r="B20" s="13" t="s">
        <v>36</v>
      </c>
      <c r="C20" s="17" t="s">
        <v>37</v>
      </c>
      <c r="D20" s="13" t="s">
        <v>45</v>
      </c>
      <c r="E20" s="19">
        <v>35544</v>
      </c>
      <c r="F20" s="20">
        <f t="shared" si="1"/>
        <v>8007.09</v>
      </c>
      <c r="G20" s="20">
        <f t="shared" si="2"/>
        <v>4803.0700000000006</v>
      </c>
      <c r="H20" s="20">
        <v>3629.94</v>
      </c>
      <c r="I20" s="20">
        <v>0</v>
      </c>
      <c r="J20" s="20">
        <v>0</v>
      </c>
      <c r="K20" s="20">
        <f t="shared" si="3"/>
        <v>1096.24</v>
      </c>
      <c r="L20" s="20">
        <v>76.89</v>
      </c>
      <c r="M20" s="21">
        <f>924.37-0.009-457.84-6.761</f>
        <v>459.76</v>
      </c>
      <c r="N20" s="20">
        <v>191.16</v>
      </c>
      <c r="O20" s="20">
        <v>25.49</v>
      </c>
      <c r="P20" s="26">
        <v>0</v>
      </c>
      <c r="Q20" s="20">
        <v>0</v>
      </c>
      <c r="R20" s="20">
        <v>262.39999999999998</v>
      </c>
      <c r="S20" s="20">
        <v>372.8</v>
      </c>
      <c r="T20" s="20">
        <v>405.48</v>
      </c>
      <c r="U20" s="20">
        <v>0</v>
      </c>
      <c r="V20" s="20">
        <v>9.08</v>
      </c>
      <c r="W20" s="20">
        <v>1.51</v>
      </c>
      <c r="X20" s="20">
        <f t="shared" si="4"/>
        <v>1646.08</v>
      </c>
      <c r="Y20" s="27">
        <v>1264.27</v>
      </c>
      <c r="Z20" s="20">
        <v>0</v>
      </c>
      <c r="AA20" s="20">
        <v>0</v>
      </c>
      <c r="AB20" s="20">
        <f t="shared" si="5"/>
        <v>381.81</v>
      </c>
      <c r="AC20" s="25">
        <v>0</v>
      </c>
      <c r="AD20" s="25">
        <v>46.91</v>
      </c>
      <c r="AE20" s="20">
        <f t="shared" si="6"/>
        <v>284604</v>
      </c>
      <c r="AF20" s="20">
        <v>164.4</v>
      </c>
      <c r="AG20" s="237">
        <f>ROUND(AE20+AE21+AE22+AF20,1)</f>
        <v>292302.5</v>
      </c>
      <c r="AH20" s="47">
        <f t="shared" si="7"/>
        <v>229228.58760000003</v>
      </c>
      <c r="AI20" s="55">
        <v>230811.51823999998</v>
      </c>
      <c r="AJ20" s="6"/>
      <c r="AK20" s="55">
        <f>ROUND(AG20/1000,1)</f>
        <v>292.3</v>
      </c>
      <c r="AM20" s="8"/>
    </row>
    <row r="21" spans="1:39" s="1" customFormat="1" ht="78.75" x14ac:dyDescent="0.25">
      <c r="A21" s="16" t="s">
        <v>46</v>
      </c>
      <c r="B21" s="13" t="s">
        <v>39</v>
      </c>
      <c r="C21" s="17" t="s">
        <v>40</v>
      </c>
      <c r="D21" s="13" t="s">
        <v>45</v>
      </c>
      <c r="E21" s="19">
        <v>180</v>
      </c>
      <c r="F21" s="20">
        <f t="shared" si="1"/>
        <v>22586.61</v>
      </c>
      <c r="G21" s="20">
        <f t="shared" si="2"/>
        <v>14342.35</v>
      </c>
      <c r="H21" s="20">
        <v>10338.61</v>
      </c>
      <c r="I21" s="20">
        <v>0</v>
      </c>
      <c r="J21" s="20">
        <v>0</v>
      </c>
      <c r="K21" s="20">
        <f t="shared" si="3"/>
        <v>3122.26</v>
      </c>
      <c r="L21" s="20">
        <v>881.48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f>1804.91-1457.22</f>
        <v>347.69000000000005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6811.8899999999994</v>
      </c>
      <c r="Y21" s="27">
        <v>5231.87</v>
      </c>
      <c r="Z21" s="20">
        <v>0</v>
      </c>
      <c r="AA21" s="20">
        <v>0</v>
      </c>
      <c r="AB21" s="20">
        <f t="shared" si="5"/>
        <v>1580.02</v>
      </c>
      <c r="AC21" s="25">
        <v>0</v>
      </c>
      <c r="AD21" s="25">
        <v>250</v>
      </c>
      <c r="AE21" s="20">
        <f t="shared" si="6"/>
        <v>4065.6</v>
      </c>
      <c r="AF21" s="20">
        <v>0</v>
      </c>
      <c r="AG21" s="237"/>
      <c r="AH21" s="47">
        <f t="shared" si="7"/>
        <v>3807.7631999999999</v>
      </c>
      <c r="AI21" s="55">
        <v>3834.0583999999994</v>
      </c>
      <c r="AJ21" s="6"/>
      <c r="AK21" s="7"/>
      <c r="AM21" s="8"/>
    </row>
    <row r="22" spans="1:39" s="1" customFormat="1" ht="78.75" x14ac:dyDescent="0.25">
      <c r="A22" s="16" t="s">
        <v>46</v>
      </c>
      <c r="B22" s="17" t="s">
        <v>41</v>
      </c>
      <c r="C22" s="17" t="s">
        <v>42</v>
      </c>
      <c r="D22" s="13" t="s">
        <v>38</v>
      </c>
      <c r="E22" s="19">
        <v>16</v>
      </c>
      <c r="F22" s="20">
        <f t="shared" si="1"/>
        <v>216779.86999999997</v>
      </c>
      <c r="G22" s="20">
        <f t="shared" si="2"/>
        <v>148933.09999999998</v>
      </c>
      <c r="H22" s="20">
        <v>112695.84</v>
      </c>
      <c r="I22" s="20">
        <v>0</v>
      </c>
      <c r="J22" s="20">
        <v>0</v>
      </c>
      <c r="K22" s="20">
        <f t="shared" si="3"/>
        <v>34034.14</v>
      </c>
      <c r="L22" s="20">
        <f>2080.45+122.67</f>
        <v>2203.12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3210.74+6.25</f>
        <v>3216.99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62358.37</v>
      </c>
      <c r="Y22" s="20">
        <v>47894.29</v>
      </c>
      <c r="Z22" s="20">
        <v>0</v>
      </c>
      <c r="AA22" s="20">
        <v>0</v>
      </c>
      <c r="AB22" s="20">
        <f t="shared" si="5"/>
        <v>14464.08</v>
      </c>
      <c r="AC22" s="25">
        <v>0</v>
      </c>
      <c r="AD22" s="25">
        <v>0</v>
      </c>
      <c r="AE22" s="20">
        <f t="shared" si="6"/>
        <v>3468.5</v>
      </c>
      <c r="AF22" s="20"/>
      <c r="AG22" s="237"/>
      <c r="AH22" s="47">
        <f t="shared" si="7"/>
        <v>3380.6635199999996</v>
      </c>
      <c r="AI22" s="55">
        <v>3402.0305999999996</v>
      </c>
      <c r="AJ22" s="6"/>
      <c r="AK22" s="7"/>
      <c r="AM22" s="8"/>
    </row>
    <row r="23" spans="1:39" s="1" customFormat="1" ht="94.5" x14ac:dyDescent="0.25">
      <c r="A23" s="16" t="s">
        <v>47</v>
      </c>
      <c r="B23" s="17" t="s">
        <v>36</v>
      </c>
      <c r="C23" s="17" t="s">
        <v>37</v>
      </c>
      <c r="D23" s="28" t="s">
        <v>38</v>
      </c>
      <c r="E23" s="19">
        <v>41500</v>
      </c>
      <c r="F23" s="20">
        <f t="shared" si="1"/>
        <v>5554.7729999999992</v>
      </c>
      <c r="G23" s="20">
        <f t="shared" si="2"/>
        <v>3504.23</v>
      </c>
      <c r="H23" s="20">
        <v>2691.42</v>
      </c>
      <c r="I23" s="25">
        <v>0</v>
      </c>
      <c r="J23" s="25">
        <v>0</v>
      </c>
      <c r="K23" s="20">
        <f t="shared" si="3"/>
        <v>812.81</v>
      </c>
      <c r="L23" s="25">
        <v>0</v>
      </c>
      <c r="M23" s="21">
        <f>734.4-0.007-317.92</f>
        <v>416.47300000000001</v>
      </c>
      <c r="N23" s="25">
        <f>M23-O23</f>
        <v>401.363</v>
      </c>
      <c r="O23" s="25">
        <v>15.11</v>
      </c>
      <c r="P23" s="26">
        <v>0</v>
      </c>
      <c r="Q23" s="25">
        <v>163.44999999999999</v>
      </c>
      <c r="R23" s="25">
        <v>149.93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918.07999999999993</v>
      </c>
      <c r="Y23" s="27">
        <v>705.13</v>
      </c>
      <c r="Z23" s="27">
        <v>0</v>
      </c>
      <c r="AA23" s="27">
        <v>0</v>
      </c>
      <c r="AB23" s="20">
        <f t="shared" si="5"/>
        <v>212.95</v>
      </c>
      <c r="AC23" s="25">
        <v>0</v>
      </c>
      <c r="AD23" s="25">
        <v>22.35</v>
      </c>
      <c r="AE23" s="20">
        <f t="shared" si="6"/>
        <v>230523.1</v>
      </c>
      <c r="AF23" s="27">
        <v>294.2</v>
      </c>
      <c r="AG23" s="237">
        <f>ROUND(AE23+AE24+AE25+AF23,1)</f>
        <v>246645.8</v>
      </c>
      <c r="AH23" s="47">
        <f t="shared" si="7"/>
        <v>183525.86499999996</v>
      </c>
      <c r="AI23" s="55">
        <v>184792.86</v>
      </c>
      <c r="AJ23" s="6"/>
      <c r="AK23" s="55">
        <f>ROUND(AG23/1000,1)</f>
        <v>246.6</v>
      </c>
      <c r="AM23" s="8"/>
    </row>
    <row r="24" spans="1:39" s="1" customFormat="1" ht="78.75" x14ac:dyDescent="0.25">
      <c r="A24" s="16" t="s">
        <v>47</v>
      </c>
      <c r="B24" s="17" t="s">
        <v>39</v>
      </c>
      <c r="C24" s="17" t="s">
        <v>40</v>
      </c>
      <c r="D24" s="28" t="s">
        <v>38</v>
      </c>
      <c r="E24" s="19">
        <v>350</v>
      </c>
      <c r="F24" s="20">
        <f t="shared" si="1"/>
        <v>15123.990000000002</v>
      </c>
      <c r="G24" s="20">
        <f t="shared" si="2"/>
        <v>11327.310000000001</v>
      </c>
      <c r="H24" s="20">
        <v>8699.93</v>
      </c>
      <c r="I24" s="25">
        <v>0</v>
      </c>
      <c r="J24" s="25">
        <v>0</v>
      </c>
      <c r="K24" s="20">
        <f t="shared" si="3"/>
        <v>2627.38</v>
      </c>
      <c r="L24" s="25">
        <v>0</v>
      </c>
      <c r="M24" s="25">
        <v>485.35</v>
      </c>
      <c r="N24" s="25">
        <v>0</v>
      </c>
      <c r="O24" s="25">
        <v>0</v>
      </c>
      <c r="P24" s="26">
        <v>0</v>
      </c>
      <c r="Q24" s="25">
        <f>2727.59-880</f>
        <v>1847.5900000000001</v>
      </c>
      <c r="R24" s="25">
        <v>149.93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918.07999999999993</v>
      </c>
      <c r="Y24" s="27">
        <v>705.13</v>
      </c>
      <c r="Z24" s="27">
        <v>0</v>
      </c>
      <c r="AA24" s="27">
        <v>0</v>
      </c>
      <c r="AB24" s="20">
        <f t="shared" si="5"/>
        <v>212.95</v>
      </c>
      <c r="AC24" s="25">
        <v>0</v>
      </c>
      <c r="AD24" s="25">
        <v>22.35</v>
      </c>
      <c r="AE24" s="20">
        <f t="shared" si="6"/>
        <v>5293.4</v>
      </c>
      <c r="AF24" s="27">
        <v>0</v>
      </c>
      <c r="AG24" s="237"/>
      <c r="AH24" s="47">
        <f t="shared" si="7"/>
        <v>4285.8864999999996</v>
      </c>
      <c r="AI24" s="55">
        <v>4315.4790000000003</v>
      </c>
      <c r="AJ24" s="6"/>
      <c r="AK24" s="7"/>
      <c r="AM24" s="8"/>
    </row>
    <row r="25" spans="1:39" s="1" customFormat="1" ht="78.75" x14ac:dyDescent="0.25">
      <c r="A25" s="16" t="s">
        <v>47</v>
      </c>
      <c r="B25" s="17" t="s">
        <v>41</v>
      </c>
      <c r="C25" s="24" t="s">
        <v>42</v>
      </c>
      <c r="D25" s="28" t="s">
        <v>38</v>
      </c>
      <c r="E25" s="19">
        <v>104</v>
      </c>
      <c r="F25" s="20">
        <f t="shared" si="1"/>
        <v>101298.72000000002</v>
      </c>
      <c r="G25" s="20">
        <f t="shared" si="2"/>
        <v>79510.97</v>
      </c>
      <c r="H25" s="20">
        <v>61068.33</v>
      </c>
      <c r="I25" s="20">
        <v>0</v>
      </c>
      <c r="J25" s="20">
        <v>0</v>
      </c>
      <c r="K25" s="20">
        <f t="shared" si="3"/>
        <v>18442.64</v>
      </c>
      <c r="L25" s="20">
        <v>0</v>
      </c>
      <c r="M25" s="20">
        <v>421.52</v>
      </c>
      <c r="N25" s="20">
        <v>0</v>
      </c>
      <c r="O25" s="20">
        <v>0</v>
      </c>
      <c r="P25" s="20">
        <v>0</v>
      </c>
      <c r="Q25" s="20">
        <f>25682.39-5780.77</f>
        <v>19901.62</v>
      </c>
      <c r="R25" s="20">
        <v>149.93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918.07999999999993</v>
      </c>
      <c r="Y25" s="27">
        <v>705.13</v>
      </c>
      <c r="Z25" s="20">
        <v>0</v>
      </c>
      <c r="AA25" s="20">
        <v>0</v>
      </c>
      <c r="AB25" s="20">
        <f t="shared" si="5"/>
        <v>212.95</v>
      </c>
      <c r="AC25" s="25">
        <v>0</v>
      </c>
      <c r="AD25" s="25">
        <v>22.35</v>
      </c>
      <c r="AE25" s="20">
        <f t="shared" si="6"/>
        <v>10535.1</v>
      </c>
      <c r="AF25" s="20">
        <v>0</v>
      </c>
      <c r="AG25" s="237"/>
      <c r="AH25" s="47">
        <f t="shared" si="7"/>
        <v>8364.6211999999996</v>
      </c>
      <c r="AI25" s="55">
        <v>8422.3775999999998</v>
      </c>
      <c r="AJ25" s="6"/>
      <c r="AK25" s="7"/>
      <c r="AM25" s="8"/>
    </row>
    <row r="26" spans="1:39" s="1" customFormat="1" ht="78.75" x14ac:dyDescent="0.25">
      <c r="A26" s="16" t="s">
        <v>48</v>
      </c>
      <c r="B26" s="17" t="s">
        <v>49</v>
      </c>
      <c r="C26" s="17" t="s">
        <v>37</v>
      </c>
      <c r="D26" s="18" t="s">
        <v>38</v>
      </c>
      <c r="E26" s="19">
        <v>103500</v>
      </c>
      <c r="F26" s="20">
        <f t="shared" si="1"/>
        <v>2375.5630000000006</v>
      </c>
      <c r="G26" s="20">
        <f t="shared" si="2"/>
        <v>1959</v>
      </c>
      <c r="H26" s="20">
        <v>1504.61</v>
      </c>
      <c r="I26" s="25">
        <v>0</v>
      </c>
      <c r="J26" s="25">
        <v>0</v>
      </c>
      <c r="K26" s="20">
        <f t="shared" si="3"/>
        <v>454.39</v>
      </c>
      <c r="L26" s="25">
        <v>0</v>
      </c>
      <c r="M26" s="25">
        <f>147.92-106.02</f>
        <v>41.899999999999991</v>
      </c>
      <c r="N26" s="25">
        <v>0</v>
      </c>
      <c r="O26" s="25">
        <v>23.36</v>
      </c>
      <c r="P26" s="26">
        <v>0</v>
      </c>
      <c r="Q26" s="25">
        <v>21.63</v>
      </c>
      <c r="R26" s="25">
        <v>31.4</v>
      </c>
      <c r="S26" s="25">
        <v>123.63</v>
      </c>
      <c r="T26" s="25">
        <v>1.05</v>
      </c>
      <c r="U26" s="20">
        <v>0</v>
      </c>
      <c r="V26" s="25">
        <v>3.33</v>
      </c>
      <c r="W26" s="25">
        <v>0.38</v>
      </c>
      <c r="X26" s="20">
        <f t="shared" si="4"/>
        <v>142.24</v>
      </c>
      <c r="Y26" s="27">
        <v>109.25</v>
      </c>
      <c r="Z26" s="25">
        <v>0</v>
      </c>
      <c r="AA26" s="25">
        <v>0</v>
      </c>
      <c r="AB26" s="20">
        <f t="shared" si="5"/>
        <v>32.99</v>
      </c>
      <c r="AC26" s="25">
        <v>0</v>
      </c>
      <c r="AD26" s="25">
        <f>97.13-45-1.127</f>
        <v>51.002999999999993</v>
      </c>
      <c r="AE26" s="20">
        <f t="shared" si="6"/>
        <v>245870.8</v>
      </c>
      <c r="AF26" s="25">
        <v>517.9</v>
      </c>
      <c r="AG26" s="237">
        <f>ROUND(AE26+AE27+AE28+AF26,1)</f>
        <v>249514</v>
      </c>
      <c r="AH26" s="47">
        <f t="shared" si="7"/>
        <v>217478.33999999997</v>
      </c>
      <c r="AI26" s="55">
        <v>218980.125</v>
      </c>
      <c r="AJ26" s="6"/>
      <c r="AK26" s="55">
        <f>ROUND(AG26/1000,1)</f>
        <v>249.5</v>
      </c>
      <c r="AM26" s="8"/>
    </row>
    <row r="27" spans="1:39" s="1" customFormat="1" ht="63" x14ac:dyDescent="0.25">
      <c r="A27" s="16" t="s">
        <v>48</v>
      </c>
      <c r="B27" s="17" t="s">
        <v>50</v>
      </c>
      <c r="C27" s="17" t="s">
        <v>40</v>
      </c>
      <c r="D27" s="18" t="s">
        <v>38</v>
      </c>
      <c r="E27" s="19">
        <v>331</v>
      </c>
      <c r="F27" s="20">
        <f t="shared" si="1"/>
        <v>4279.04</v>
      </c>
      <c r="G27" s="20">
        <f t="shared" si="2"/>
        <v>3694.31</v>
      </c>
      <c r="H27" s="20">
        <v>2837.41</v>
      </c>
      <c r="I27" s="25">
        <v>0</v>
      </c>
      <c r="J27" s="25">
        <v>0</v>
      </c>
      <c r="K27" s="20">
        <f t="shared" si="3"/>
        <v>856.9</v>
      </c>
      <c r="L27" s="25">
        <v>0</v>
      </c>
      <c r="M27" s="25">
        <f>425.02-273.72</f>
        <v>151.29999999999995</v>
      </c>
      <c r="N27" s="25">
        <v>0</v>
      </c>
      <c r="O27" s="25">
        <v>59.46</v>
      </c>
      <c r="P27" s="26">
        <v>0</v>
      </c>
      <c r="Q27" s="25">
        <v>2.99</v>
      </c>
      <c r="R27" s="25">
        <v>79.13</v>
      </c>
      <c r="S27" s="25">
        <v>22.19</v>
      </c>
      <c r="T27" s="25">
        <v>2.5299999999999998</v>
      </c>
      <c r="U27" s="20">
        <v>0</v>
      </c>
      <c r="V27" s="25">
        <v>6.97</v>
      </c>
      <c r="W27" s="25">
        <v>0.8</v>
      </c>
      <c r="X27" s="20">
        <f t="shared" si="4"/>
        <v>120.25</v>
      </c>
      <c r="Y27" s="27">
        <v>92.36</v>
      </c>
      <c r="Z27" s="25">
        <v>0</v>
      </c>
      <c r="AA27" s="25">
        <v>0</v>
      </c>
      <c r="AB27" s="20">
        <f t="shared" si="5"/>
        <v>27.89</v>
      </c>
      <c r="AC27" s="25">
        <v>0</v>
      </c>
      <c r="AD27" s="25">
        <v>198.57</v>
      </c>
      <c r="AE27" s="20">
        <f t="shared" si="6"/>
        <v>1416.4</v>
      </c>
      <c r="AF27" s="25">
        <v>0</v>
      </c>
      <c r="AG27" s="237"/>
      <c r="AH27" s="47">
        <f t="shared" si="7"/>
        <v>1262.6193599999999</v>
      </c>
      <c r="AI27" s="55">
        <v>1271.3379000000002</v>
      </c>
      <c r="AJ27" s="6"/>
      <c r="AK27" s="7"/>
      <c r="AM27" s="8"/>
    </row>
    <row r="28" spans="1:39" s="1" customFormat="1" ht="78.75" x14ac:dyDescent="0.25">
      <c r="A28" s="16" t="s">
        <v>48</v>
      </c>
      <c r="B28" s="17" t="s">
        <v>41</v>
      </c>
      <c r="C28" s="24" t="s">
        <v>42</v>
      </c>
      <c r="D28" s="28" t="s">
        <v>38</v>
      </c>
      <c r="E28" s="19">
        <v>19</v>
      </c>
      <c r="F28" s="20">
        <f t="shared" si="1"/>
        <v>89944.02</v>
      </c>
      <c r="G28" s="20">
        <f t="shared" si="2"/>
        <v>85403.49</v>
      </c>
      <c r="H28" s="20">
        <v>65594.080000000002</v>
      </c>
      <c r="I28" s="20">
        <v>0</v>
      </c>
      <c r="J28" s="20">
        <v>0</v>
      </c>
      <c r="K28" s="20">
        <f t="shared" si="3"/>
        <v>19809.41</v>
      </c>
      <c r="L28" s="20">
        <v>0</v>
      </c>
      <c r="M28" s="20">
        <v>426.37</v>
      </c>
      <c r="N28" s="20">
        <v>0</v>
      </c>
      <c r="O28" s="20">
        <v>426.37</v>
      </c>
      <c r="P28" s="20">
        <v>0</v>
      </c>
      <c r="Q28" s="20">
        <v>4018.73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51.58</v>
      </c>
      <c r="X28" s="20">
        <f t="shared" si="4"/>
        <v>0</v>
      </c>
      <c r="Y28" s="20">
        <v>0</v>
      </c>
      <c r="Z28" s="20">
        <v>0</v>
      </c>
      <c r="AA28" s="20">
        <v>0</v>
      </c>
      <c r="AB28" s="20">
        <f t="shared" si="5"/>
        <v>0</v>
      </c>
      <c r="AC28" s="25">
        <v>0</v>
      </c>
      <c r="AD28" s="25">
        <v>43.85</v>
      </c>
      <c r="AE28" s="20">
        <f t="shared" si="6"/>
        <v>1708.9</v>
      </c>
      <c r="AF28" s="20">
        <v>0</v>
      </c>
      <c r="AG28" s="237"/>
      <c r="AH28" s="47">
        <f t="shared" si="7"/>
        <v>1622.6663100000001</v>
      </c>
      <c r="AI28" s="55">
        <v>1633.8706100000002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98000</v>
      </c>
      <c r="F29" s="20">
        <f t="shared" si="1"/>
        <v>3247.9470000000001</v>
      </c>
      <c r="G29" s="20">
        <f t="shared" si="2"/>
        <v>2196.9299999999998</v>
      </c>
      <c r="H29" s="20">
        <v>1687.35</v>
      </c>
      <c r="I29" s="30">
        <v>0</v>
      </c>
      <c r="J29" s="30">
        <v>0</v>
      </c>
      <c r="K29" s="20">
        <f t="shared" si="3"/>
        <v>509.58</v>
      </c>
      <c r="L29" s="30">
        <v>0</v>
      </c>
      <c r="M29" s="21">
        <f>385.17-0.003-188.01</f>
        <v>197.15700000000004</v>
      </c>
      <c r="N29" s="30">
        <f>M29-O29</f>
        <v>116.52700000000004</v>
      </c>
      <c r="O29" s="30">
        <v>80.63</v>
      </c>
      <c r="P29" s="26">
        <v>0</v>
      </c>
      <c r="Q29" s="30">
        <v>99.02</v>
      </c>
      <c r="R29" s="30">
        <v>103.48</v>
      </c>
      <c r="S29" s="30">
        <v>105.13</v>
      </c>
      <c r="T29" s="30">
        <v>72.52</v>
      </c>
      <c r="U29" s="20">
        <v>0</v>
      </c>
      <c r="V29" s="30">
        <v>33.5</v>
      </c>
      <c r="W29" s="30">
        <v>0</v>
      </c>
      <c r="X29" s="20">
        <f t="shared" si="4"/>
        <v>408.61</v>
      </c>
      <c r="Y29" s="27">
        <v>313.83</v>
      </c>
      <c r="Z29" s="30">
        <v>0</v>
      </c>
      <c r="AA29" s="30">
        <v>0</v>
      </c>
      <c r="AB29" s="20">
        <f t="shared" si="5"/>
        <v>94.78</v>
      </c>
      <c r="AC29" s="25">
        <v>0</v>
      </c>
      <c r="AD29" s="25">
        <v>31.6</v>
      </c>
      <c r="AE29" s="20">
        <f t="shared" si="6"/>
        <v>318298.8</v>
      </c>
      <c r="AF29" s="31">
        <v>538.6</v>
      </c>
      <c r="AG29" s="237">
        <f>ROUND(AE29+AE30+AE31+AF29,1)</f>
        <v>320579.59999999998</v>
      </c>
      <c r="AH29" s="47">
        <f t="shared" si="7"/>
        <v>255342.92</v>
      </c>
      <c r="AI29" s="55">
        <v>257105.93999999997</v>
      </c>
      <c r="AJ29" s="6"/>
      <c r="AK29" s="55">
        <f>ROUND(AG29/1000,1)</f>
        <v>320.60000000000002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115</v>
      </c>
      <c r="F30" s="20">
        <f t="shared" si="1"/>
        <v>10132.489999999998</v>
      </c>
      <c r="G30" s="20">
        <f t="shared" si="2"/>
        <v>6223.5499999999993</v>
      </c>
      <c r="H30" s="20">
        <v>4779.99</v>
      </c>
      <c r="I30" s="30">
        <v>0</v>
      </c>
      <c r="J30" s="30">
        <v>0</v>
      </c>
      <c r="K30" s="20">
        <f t="shared" si="3"/>
        <v>1443.56</v>
      </c>
      <c r="L30" s="30">
        <v>0</v>
      </c>
      <c r="M30" s="30">
        <v>827.59</v>
      </c>
      <c r="N30" s="30">
        <v>0</v>
      </c>
      <c r="O30" s="30">
        <v>612.16999999999996</v>
      </c>
      <c r="P30" s="26">
        <v>0</v>
      </c>
      <c r="Q30" s="30">
        <v>45.59</v>
      </c>
      <c r="R30" s="30">
        <v>204.98</v>
      </c>
      <c r="S30" s="30">
        <f>434.68-181.74</f>
        <v>252.94</v>
      </c>
      <c r="T30" s="30">
        <f>418.26-100</f>
        <v>318.26</v>
      </c>
      <c r="U30" s="20">
        <v>0</v>
      </c>
      <c r="V30" s="30">
        <v>246.03</v>
      </c>
      <c r="W30" s="30">
        <v>0</v>
      </c>
      <c r="X30" s="20">
        <f t="shared" si="4"/>
        <v>1868.4899999999998</v>
      </c>
      <c r="Y30" s="27">
        <v>1435.09</v>
      </c>
      <c r="Z30" s="30">
        <v>0</v>
      </c>
      <c r="AA30" s="30">
        <v>0</v>
      </c>
      <c r="AB30" s="20">
        <f t="shared" si="5"/>
        <v>433.4</v>
      </c>
      <c r="AC30" s="25">
        <v>0</v>
      </c>
      <c r="AD30" s="25">
        <f>445.06-300</f>
        <v>145.06</v>
      </c>
      <c r="AE30" s="20">
        <f t="shared" si="6"/>
        <v>1165.2</v>
      </c>
      <c r="AF30" s="31">
        <v>0</v>
      </c>
      <c r="AG30" s="237"/>
      <c r="AH30" s="47">
        <f t="shared" si="7"/>
        <v>930.58459999999991</v>
      </c>
      <c r="AI30" s="55">
        <v>937.01080000000002</v>
      </c>
      <c r="AJ30" s="6"/>
      <c r="AK30" s="7"/>
      <c r="AM30" s="8"/>
    </row>
    <row r="31" spans="1:39" s="1" customFormat="1" ht="78.75" x14ac:dyDescent="0.25">
      <c r="A31" s="23" t="s">
        <v>51</v>
      </c>
      <c r="B31" s="17" t="s">
        <v>41</v>
      </c>
      <c r="C31" s="24" t="s">
        <v>42</v>
      </c>
      <c r="D31" s="28" t="s">
        <v>38</v>
      </c>
      <c r="E31" s="19">
        <v>2</v>
      </c>
      <c r="F31" s="20">
        <f t="shared" si="1"/>
        <v>288488.71000000002</v>
      </c>
      <c r="G31" s="20">
        <f t="shared" si="2"/>
        <v>163586.47</v>
      </c>
      <c r="H31" s="20">
        <v>125642.45</v>
      </c>
      <c r="I31" s="20">
        <v>0</v>
      </c>
      <c r="J31" s="20">
        <v>0</v>
      </c>
      <c r="K31" s="20">
        <f t="shared" si="3"/>
        <v>37944.019999999997</v>
      </c>
      <c r="L31" s="20">
        <v>0</v>
      </c>
      <c r="M31" s="20">
        <v>30589.08</v>
      </c>
      <c r="N31" s="20">
        <v>0</v>
      </c>
      <c r="O31" s="20">
        <v>8894.86</v>
      </c>
      <c r="P31" s="20">
        <v>0</v>
      </c>
      <c r="Q31" s="20">
        <v>13987.04</v>
      </c>
      <c r="R31" s="20">
        <v>16010.12</v>
      </c>
      <c r="S31" s="20">
        <v>3219.2</v>
      </c>
      <c r="T31" s="20">
        <v>6768.26</v>
      </c>
      <c r="U31" s="20">
        <v>0</v>
      </c>
      <c r="V31" s="20">
        <v>4733.3999999999996</v>
      </c>
      <c r="W31" s="20">
        <v>0</v>
      </c>
      <c r="X31" s="20">
        <f t="shared" si="4"/>
        <v>35607.300000000003</v>
      </c>
      <c r="Y31" s="20">
        <v>27348.16</v>
      </c>
      <c r="Z31" s="20">
        <v>0</v>
      </c>
      <c r="AA31" s="20">
        <v>0</v>
      </c>
      <c r="AB31" s="20">
        <f t="shared" si="5"/>
        <v>8259.14</v>
      </c>
      <c r="AC31" s="25">
        <v>0</v>
      </c>
      <c r="AD31" s="25">
        <f>28287.84-14300</f>
        <v>13987.84</v>
      </c>
      <c r="AE31" s="20">
        <f t="shared" si="6"/>
        <v>577</v>
      </c>
      <c r="AF31" s="20">
        <v>0</v>
      </c>
      <c r="AG31" s="237"/>
      <c r="AH31" s="47">
        <f t="shared" si="7"/>
        <v>398.38754000000006</v>
      </c>
      <c r="AI31" s="55">
        <v>401.13837999999998</v>
      </c>
      <c r="AJ31" s="6"/>
      <c r="AK31" s="7"/>
      <c r="AM31" s="8"/>
    </row>
    <row r="32" spans="1:39" s="1" customFormat="1" ht="94.5" x14ac:dyDescent="0.25">
      <c r="A32" s="16" t="s">
        <v>52</v>
      </c>
      <c r="B32" s="17" t="s">
        <v>36</v>
      </c>
      <c r="C32" s="17" t="s">
        <v>37</v>
      </c>
      <c r="D32" s="17" t="s">
        <v>53</v>
      </c>
      <c r="E32" s="19">
        <v>500</v>
      </c>
      <c r="F32" s="20">
        <f t="shared" si="1"/>
        <v>5848.06</v>
      </c>
      <c r="G32" s="20">
        <f t="shared" si="2"/>
        <v>2675.3599999999997</v>
      </c>
      <c r="H32" s="20">
        <v>2054.81</v>
      </c>
      <c r="I32" s="20">
        <v>0</v>
      </c>
      <c r="J32" s="20">
        <v>0</v>
      </c>
      <c r="K32" s="20">
        <f t="shared" si="3"/>
        <v>620.54999999999995</v>
      </c>
      <c r="L32" s="20">
        <v>0</v>
      </c>
      <c r="M32" s="20">
        <v>408.63</v>
      </c>
      <c r="N32" s="20">
        <v>0</v>
      </c>
      <c r="O32" s="20">
        <v>0</v>
      </c>
      <c r="P32" s="32">
        <v>0</v>
      </c>
      <c r="Q32" s="20">
        <f>1461.1-280</f>
        <v>1181.0999999999999</v>
      </c>
      <c r="R32" s="20">
        <v>28.43</v>
      </c>
      <c r="S32" s="20">
        <v>0</v>
      </c>
      <c r="T32" s="20">
        <v>0</v>
      </c>
      <c r="U32" s="20">
        <v>0</v>
      </c>
      <c r="V32" s="20">
        <v>41.33</v>
      </c>
      <c r="W32" s="20">
        <v>37.01</v>
      </c>
      <c r="X32" s="20">
        <f t="shared" si="4"/>
        <v>1215.48</v>
      </c>
      <c r="Y32" s="27">
        <v>933.55</v>
      </c>
      <c r="Z32" s="20">
        <v>0</v>
      </c>
      <c r="AA32" s="20">
        <v>0</v>
      </c>
      <c r="AB32" s="20">
        <f t="shared" si="5"/>
        <v>281.93</v>
      </c>
      <c r="AC32" s="20">
        <v>0</v>
      </c>
      <c r="AD32" s="20">
        <v>260.72000000000003</v>
      </c>
      <c r="AE32" s="20">
        <f t="shared" si="6"/>
        <v>2924</v>
      </c>
      <c r="AF32" s="25">
        <v>295.8</v>
      </c>
      <c r="AG32" s="237">
        <f>ROUND(AE32+AE33+AF32,1)</f>
        <v>19283.2</v>
      </c>
      <c r="AH32" s="47">
        <f t="shared" si="7"/>
        <v>1945.4199999999998</v>
      </c>
      <c r="AI32" s="55">
        <v>1958.8600000000001</v>
      </c>
      <c r="AJ32" s="6"/>
      <c r="AK32" s="55">
        <f>ROUND(AG32/1000,1)</f>
        <v>19.3</v>
      </c>
      <c r="AM32" s="8"/>
    </row>
    <row r="33" spans="1:39" s="1" customFormat="1" ht="78.75" x14ac:dyDescent="0.25">
      <c r="A33" s="16" t="s">
        <v>52</v>
      </c>
      <c r="B33" s="17" t="s">
        <v>39</v>
      </c>
      <c r="C33" s="17" t="s">
        <v>40</v>
      </c>
      <c r="D33" s="17" t="s">
        <v>53</v>
      </c>
      <c r="E33" s="19">
        <v>131</v>
      </c>
      <c r="F33" s="20">
        <f t="shared" si="1"/>
        <v>122621.65000000001</v>
      </c>
      <c r="G33" s="20">
        <f t="shared" si="2"/>
        <v>38355.08</v>
      </c>
      <c r="H33" s="20">
        <v>29458.59</v>
      </c>
      <c r="I33" s="20">
        <v>0</v>
      </c>
      <c r="J33" s="20">
        <v>0</v>
      </c>
      <c r="K33" s="20">
        <f t="shared" si="3"/>
        <v>8896.49</v>
      </c>
      <c r="L33" s="20">
        <v>0</v>
      </c>
      <c r="M33" s="20">
        <v>106.94</v>
      </c>
      <c r="N33" s="20">
        <v>0</v>
      </c>
      <c r="O33" s="20">
        <v>0</v>
      </c>
      <c r="P33" s="32">
        <v>0</v>
      </c>
      <c r="Q33" s="20">
        <v>3238.21</v>
      </c>
      <c r="R33" s="20">
        <v>1549.69</v>
      </c>
      <c r="S33" s="20">
        <f>41198.83-3448.85</f>
        <v>37749.980000000003</v>
      </c>
      <c r="T33" s="20">
        <v>28300.880000000001</v>
      </c>
      <c r="U33" s="20">
        <v>0</v>
      </c>
      <c r="V33" s="20">
        <v>3407.95</v>
      </c>
      <c r="W33" s="20">
        <v>288.58999999999997</v>
      </c>
      <c r="X33" s="20">
        <f t="shared" si="4"/>
        <v>9624.33</v>
      </c>
      <c r="Y33" s="27">
        <v>7391.96</v>
      </c>
      <c r="Z33" s="20">
        <v>0</v>
      </c>
      <c r="AA33" s="20">
        <v>0</v>
      </c>
      <c r="AB33" s="20">
        <f t="shared" si="5"/>
        <v>2232.37</v>
      </c>
      <c r="AC33" s="20">
        <v>0</v>
      </c>
      <c r="AD33" s="20">
        <v>0</v>
      </c>
      <c r="AE33" s="20">
        <f t="shared" si="6"/>
        <v>16063.4</v>
      </c>
      <c r="AF33" s="25">
        <v>0</v>
      </c>
      <c r="AG33" s="237"/>
      <c r="AH33" s="47">
        <f t="shared" si="7"/>
        <v>6285.3027100000008</v>
      </c>
      <c r="AI33" s="55">
        <v>6328.7030100000002</v>
      </c>
      <c r="AJ33" s="6"/>
      <c r="AK33" s="7"/>
      <c r="AM33" s="8"/>
    </row>
    <row r="34" spans="1:39" s="1" customFormat="1" ht="78.75" x14ac:dyDescent="0.25">
      <c r="A34" s="16" t="s">
        <v>54</v>
      </c>
      <c r="B34" s="17" t="s">
        <v>49</v>
      </c>
      <c r="C34" s="17" t="s">
        <v>37</v>
      </c>
      <c r="D34" s="17" t="s">
        <v>45</v>
      </c>
      <c r="E34" s="19">
        <v>5286</v>
      </c>
      <c r="F34" s="20">
        <f t="shared" si="1"/>
        <v>1948.4599999999996</v>
      </c>
      <c r="G34" s="20">
        <f t="shared" si="2"/>
        <v>738.34</v>
      </c>
      <c r="H34" s="20">
        <v>567.08000000000004</v>
      </c>
      <c r="I34" s="25">
        <v>0</v>
      </c>
      <c r="J34" s="25">
        <v>0</v>
      </c>
      <c r="K34" s="20">
        <f t="shared" si="3"/>
        <v>171.26</v>
      </c>
      <c r="L34" s="25">
        <v>0</v>
      </c>
      <c r="M34" s="25">
        <v>95.43</v>
      </c>
      <c r="N34" s="25">
        <v>0</v>
      </c>
      <c r="O34" s="25">
        <v>0</v>
      </c>
      <c r="P34" s="26">
        <v>0</v>
      </c>
      <c r="Q34" s="25">
        <v>88.37</v>
      </c>
      <c r="R34" s="25">
        <v>48.11</v>
      </c>
      <c r="S34" s="25">
        <v>82.33</v>
      </c>
      <c r="T34" s="25">
        <v>367.08</v>
      </c>
      <c r="U34" s="20">
        <v>0</v>
      </c>
      <c r="V34" s="27">
        <v>14.58</v>
      </c>
      <c r="W34" s="27">
        <v>3.81</v>
      </c>
      <c r="X34" s="20">
        <f t="shared" si="4"/>
        <v>478.42999999999995</v>
      </c>
      <c r="Y34" s="27">
        <v>367.46</v>
      </c>
      <c r="Z34" s="27">
        <v>0</v>
      </c>
      <c r="AA34" s="27">
        <v>0</v>
      </c>
      <c r="AB34" s="20">
        <f t="shared" si="5"/>
        <v>110.97</v>
      </c>
      <c r="AC34" s="25">
        <v>0</v>
      </c>
      <c r="AD34" s="25">
        <f>119.76-87.78</f>
        <v>31.980000000000004</v>
      </c>
      <c r="AE34" s="20">
        <f t="shared" si="6"/>
        <v>10299.6</v>
      </c>
      <c r="AF34" s="25">
        <v>276.2</v>
      </c>
      <c r="AG34" s="237">
        <f>ROUND(AE34+AE35+AF34,1)</f>
        <v>11127</v>
      </c>
      <c r="AH34" s="47">
        <f t="shared" si="7"/>
        <v>6431.8462199999994</v>
      </c>
      <c r="AI34" s="55">
        <v>6476.3014800000001</v>
      </c>
      <c r="AJ34" s="6"/>
      <c r="AK34" s="55">
        <f>ROUND(AG34/1000,1)</f>
        <v>11.1</v>
      </c>
      <c r="AM34" s="8"/>
    </row>
    <row r="35" spans="1:39" s="1" customFormat="1" ht="63" x14ac:dyDescent="0.25">
      <c r="A35" s="16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55124.099999999991</v>
      </c>
      <c r="G35" s="20">
        <f t="shared" si="2"/>
        <v>25822.629999999997</v>
      </c>
      <c r="H35" s="20">
        <v>19833.05</v>
      </c>
      <c r="I35" s="25">
        <v>0</v>
      </c>
      <c r="J35" s="25">
        <v>0</v>
      </c>
      <c r="K35" s="20">
        <f t="shared" si="3"/>
        <v>5989.58</v>
      </c>
      <c r="L35" s="25">
        <v>0</v>
      </c>
      <c r="M35" s="25">
        <v>788.74</v>
      </c>
      <c r="N35" s="25">
        <v>0</v>
      </c>
      <c r="O35" s="25">
        <v>736.1</v>
      </c>
      <c r="P35" s="26">
        <v>0</v>
      </c>
      <c r="Q35" s="25">
        <v>1602.69</v>
      </c>
      <c r="R35" s="25">
        <v>1907.18</v>
      </c>
      <c r="S35" s="25">
        <v>3049</v>
      </c>
      <c r="T35" s="25">
        <f>8641.02-1300</f>
        <v>7341.02</v>
      </c>
      <c r="U35" s="20">
        <v>0</v>
      </c>
      <c r="V35" s="27">
        <v>1748.74</v>
      </c>
      <c r="W35" s="27">
        <v>1116.1500000000001</v>
      </c>
      <c r="X35" s="20">
        <f t="shared" si="4"/>
        <v>10431.210000000001</v>
      </c>
      <c r="Y35" s="27">
        <v>8011.68</v>
      </c>
      <c r="Z35" s="27">
        <v>0</v>
      </c>
      <c r="AA35" s="27">
        <v>0</v>
      </c>
      <c r="AB35" s="20">
        <f t="shared" si="5"/>
        <v>2419.5300000000002</v>
      </c>
      <c r="AC35" s="25">
        <v>0</v>
      </c>
      <c r="AD35" s="25">
        <f>2616.74-1300</f>
        <v>1316.7399999999998</v>
      </c>
      <c r="AE35" s="20">
        <f t="shared" si="6"/>
        <v>551.20000000000005</v>
      </c>
      <c r="AF35" s="27">
        <v>0</v>
      </c>
      <c r="AG35" s="237"/>
      <c r="AH35" s="47">
        <f t="shared" si="7"/>
        <v>362.53839999999997</v>
      </c>
      <c r="AI35" s="55">
        <v>365.04169999999993</v>
      </c>
      <c r="AJ35" s="6"/>
      <c r="AK35" s="7"/>
      <c r="AM35" s="8"/>
    </row>
    <row r="36" spans="1:39" s="1" customFormat="1" ht="94.5" x14ac:dyDescent="0.25">
      <c r="A36" s="16" t="s">
        <v>55</v>
      </c>
      <c r="B36" s="17" t="s">
        <v>56</v>
      </c>
      <c r="C36" s="17" t="s">
        <v>37</v>
      </c>
      <c r="D36" s="18" t="s">
        <v>53</v>
      </c>
      <c r="E36" s="19">
        <v>7900</v>
      </c>
      <c r="F36" s="20">
        <f t="shared" si="1"/>
        <v>2421.91</v>
      </c>
      <c r="G36" s="20">
        <f t="shared" si="2"/>
        <v>987.91</v>
      </c>
      <c r="H36" s="20">
        <v>758.76</v>
      </c>
      <c r="I36" s="25">
        <v>0</v>
      </c>
      <c r="J36" s="25">
        <v>0</v>
      </c>
      <c r="K36" s="20">
        <f t="shared" si="3"/>
        <v>229.15</v>
      </c>
      <c r="L36" s="25">
        <v>0</v>
      </c>
      <c r="M36" s="25">
        <f>541.57-115.54-15.85</f>
        <v>410.18</v>
      </c>
      <c r="N36" s="25">
        <v>0</v>
      </c>
      <c r="O36" s="25">
        <v>48.07</v>
      </c>
      <c r="P36" s="26">
        <v>0</v>
      </c>
      <c r="Q36" s="25">
        <v>89.35</v>
      </c>
      <c r="R36" s="25">
        <v>158.56</v>
      </c>
      <c r="S36" s="25">
        <v>45.74</v>
      </c>
      <c r="T36" s="25">
        <v>48.63</v>
      </c>
      <c r="U36" s="20">
        <v>0</v>
      </c>
      <c r="V36" s="25">
        <v>8.6999999999999993</v>
      </c>
      <c r="W36" s="25">
        <v>0</v>
      </c>
      <c r="X36" s="20">
        <f t="shared" si="4"/>
        <v>623.32000000000005</v>
      </c>
      <c r="Y36" s="27">
        <v>478.69</v>
      </c>
      <c r="Z36" s="25">
        <v>0</v>
      </c>
      <c r="AA36" s="25">
        <v>0</v>
      </c>
      <c r="AB36" s="20">
        <f t="shared" si="5"/>
        <v>144.56</v>
      </c>
      <c r="AC36" s="25">
        <v>7.0000000000000007E-2</v>
      </c>
      <c r="AD36" s="25">
        <v>49.52</v>
      </c>
      <c r="AE36" s="20">
        <f t="shared" si="6"/>
        <v>19133.099999999999</v>
      </c>
      <c r="AF36" s="25">
        <v>97.4</v>
      </c>
      <c r="AG36" s="237">
        <f>ROUND(AE36+AE37+AF36,1)</f>
        <v>21183.4</v>
      </c>
      <c r="AH36" s="47">
        <f t="shared" si="7"/>
        <v>12728.717000000001</v>
      </c>
      <c r="AI36" s="55">
        <v>12816.644000000002</v>
      </c>
      <c r="AJ36" s="6"/>
      <c r="AK36" s="55">
        <f>ROUND(AG36/1000,1)</f>
        <v>21.2</v>
      </c>
      <c r="AM36" s="8"/>
    </row>
    <row r="37" spans="1:39" s="1" customFormat="1" ht="78.75" x14ac:dyDescent="0.25">
      <c r="A37" s="16" t="s">
        <v>55</v>
      </c>
      <c r="B37" s="33" t="s">
        <v>57</v>
      </c>
      <c r="C37" s="17" t="s">
        <v>40</v>
      </c>
      <c r="D37" s="18" t="s">
        <v>45</v>
      </c>
      <c r="E37" s="19">
        <v>104</v>
      </c>
      <c r="F37" s="20">
        <f t="shared" si="1"/>
        <v>18778.250000000004</v>
      </c>
      <c r="G37" s="20">
        <f t="shared" si="2"/>
        <v>6885.5999999999995</v>
      </c>
      <c r="H37" s="20">
        <v>5288.48</v>
      </c>
      <c r="I37" s="25">
        <v>0</v>
      </c>
      <c r="J37" s="25">
        <v>0</v>
      </c>
      <c r="K37" s="20">
        <f t="shared" si="3"/>
        <v>1597.12</v>
      </c>
      <c r="L37" s="25">
        <v>0</v>
      </c>
      <c r="M37" s="25">
        <v>517.63</v>
      </c>
      <c r="N37" s="25">
        <v>0</v>
      </c>
      <c r="O37" s="25">
        <v>284.99</v>
      </c>
      <c r="P37" s="26">
        <v>0</v>
      </c>
      <c r="Q37" s="25">
        <v>21.89</v>
      </c>
      <c r="R37" s="25">
        <v>190.6</v>
      </c>
      <c r="S37" s="25">
        <v>765.94</v>
      </c>
      <c r="T37" s="25">
        <v>122.18</v>
      </c>
      <c r="U37" s="20">
        <v>0</v>
      </c>
      <c r="V37" s="25">
        <v>51.53</v>
      </c>
      <c r="W37" s="25">
        <v>0</v>
      </c>
      <c r="X37" s="20">
        <f t="shared" si="4"/>
        <v>9860.39</v>
      </c>
      <c r="Y37" s="27">
        <v>7572.71</v>
      </c>
      <c r="Z37" s="25">
        <v>0</v>
      </c>
      <c r="AA37" s="25">
        <v>0</v>
      </c>
      <c r="AB37" s="20">
        <f t="shared" si="5"/>
        <v>2286.96</v>
      </c>
      <c r="AC37" s="25">
        <v>0.72</v>
      </c>
      <c r="AD37" s="25">
        <f>363.45-0.96</f>
        <v>362.49</v>
      </c>
      <c r="AE37" s="20">
        <f t="shared" si="6"/>
        <v>1952.9</v>
      </c>
      <c r="AF37" s="25"/>
      <c r="AG37" s="237"/>
      <c r="AH37" s="47">
        <f t="shared" si="7"/>
        <v>1741.5829599999997</v>
      </c>
      <c r="AI37" s="55">
        <v>1753.6084799999999</v>
      </c>
      <c r="AJ37" s="6"/>
      <c r="AK37" s="7"/>
      <c r="AM37" s="8"/>
    </row>
    <row r="38" spans="1:39" s="1" customFormat="1" ht="78.75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62</v>
      </c>
      <c r="F38" s="20">
        <f t="shared" si="1"/>
        <v>94600.780000000013</v>
      </c>
      <c r="G38" s="20">
        <f t="shared" si="2"/>
        <v>48854.83</v>
      </c>
      <c r="H38" s="20">
        <v>37522.910000000003</v>
      </c>
      <c r="I38" s="25">
        <v>0</v>
      </c>
      <c r="J38" s="25">
        <v>0</v>
      </c>
      <c r="K38" s="20">
        <f t="shared" si="3"/>
        <v>11331.92</v>
      </c>
      <c r="L38" s="25">
        <v>0</v>
      </c>
      <c r="M38" s="25">
        <v>6090.53</v>
      </c>
      <c r="N38" s="25">
        <v>3484.29</v>
      </c>
      <c r="O38" s="25">
        <v>1132.4000000000001</v>
      </c>
      <c r="P38" s="25">
        <v>0</v>
      </c>
      <c r="Q38" s="25">
        <v>2735.16</v>
      </c>
      <c r="R38" s="25">
        <f>10368.03-5196.77</f>
        <v>5171.26</v>
      </c>
      <c r="S38" s="25">
        <v>1541.8</v>
      </c>
      <c r="T38" s="25">
        <v>1149.82</v>
      </c>
      <c r="U38" s="20">
        <v>0</v>
      </c>
      <c r="V38" s="25">
        <v>3975.57</v>
      </c>
      <c r="W38" s="25">
        <v>0</v>
      </c>
      <c r="X38" s="20">
        <f t="shared" si="4"/>
        <v>23456.309999999998</v>
      </c>
      <c r="Y38" s="27">
        <v>18015.599999999999</v>
      </c>
      <c r="Z38" s="25">
        <v>0</v>
      </c>
      <c r="AA38" s="25">
        <v>0</v>
      </c>
      <c r="AB38" s="20">
        <f t="shared" si="5"/>
        <v>5440.71</v>
      </c>
      <c r="AC38" s="25">
        <v>0</v>
      </c>
      <c r="AD38" s="25">
        <v>1625.5</v>
      </c>
      <c r="AE38" s="20">
        <f t="shared" si="6"/>
        <v>5865.2</v>
      </c>
      <c r="AF38" s="20">
        <v>164.4</v>
      </c>
      <c r="AG38" s="37">
        <f>ROUND(AE38+AF38,1)</f>
        <v>6029.6</v>
      </c>
      <c r="AH38" s="47">
        <f t="shared" si="7"/>
        <v>4483.2906800000001</v>
      </c>
      <c r="AI38" s="55">
        <v>4514.2472800000005</v>
      </c>
      <c r="AJ38" s="6"/>
      <c r="AK38" s="55">
        <f>ROUND(AG38/1000,1)</f>
        <v>6</v>
      </c>
      <c r="AM38" s="8"/>
    </row>
    <row r="39" spans="1:39" s="1" customFormat="1" ht="78.75" x14ac:dyDescent="0.25">
      <c r="A39" s="16" t="s">
        <v>59</v>
      </c>
      <c r="B39" s="17" t="s">
        <v>39</v>
      </c>
      <c r="C39" s="17" t="s">
        <v>40</v>
      </c>
      <c r="D39" s="17" t="s">
        <v>45</v>
      </c>
      <c r="E39" s="19">
        <v>60</v>
      </c>
      <c r="F39" s="20">
        <f t="shared" si="1"/>
        <v>75729.14</v>
      </c>
      <c r="G39" s="20">
        <f t="shared" si="2"/>
        <v>17262.370000000003</v>
      </c>
      <c r="H39" s="20">
        <v>12511.61</v>
      </c>
      <c r="I39" s="25">
        <v>0</v>
      </c>
      <c r="J39" s="25">
        <v>0</v>
      </c>
      <c r="K39" s="20">
        <f t="shared" si="3"/>
        <v>3778.51</v>
      </c>
      <c r="L39" s="25">
        <v>972.25</v>
      </c>
      <c r="M39" s="25">
        <v>1785.11</v>
      </c>
      <c r="N39" s="25">
        <v>0</v>
      </c>
      <c r="O39" s="25">
        <v>90.33</v>
      </c>
      <c r="P39" s="26">
        <v>0</v>
      </c>
      <c r="Q39" s="25">
        <v>0</v>
      </c>
      <c r="R39" s="25">
        <v>6365.81</v>
      </c>
      <c r="S39" s="25">
        <f>31606.49-1605</f>
        <v>30001.49</v>
      </c>
      <c r="T39" s="25">
        <v>8562.7099999999991</v>
      </c>
      <c r="U39" s="20">
        <v>0</v>
      </c>
      <c r="V39" s="25">
        <v>539.9</v>
      </c>
      <c r="W39" s="25">
        <v>0</v>
      </c>
      <c r="X39" s="20">
        <f t="shared" si="4"/>
        <v>6142.9400000000005</v>
      </c>
      <c r="Y39" s="27">
        <v>4655.8500000000004</v>
      </c>
      <c r="Z39" s="25">
        <v>0</v>
      </c>
      <c r="AA39" s="25">
        <v>0</v>
      </c>
      <c r="AB39" s="20">
        <f t="shared" si="5"/>
        <v>1406.07</v>
      </c>
      <c r="AC39" s="25">
        <v>81.02</v>
      </c>
      <c r="AD39" s="25">
        <v>5068.8100000000004</v>
      </c>
      <c r="AE39" s="20">
        <f t="shared" si="6"/>
        <v>4543.7</v>
      </c>
      <c r="AF39" s="25">
        <v>165.4</v>
      </c>
      <c r="AG39" s="37">
        <f>ROUND(AE39+AF39,1)</f>
        <v>4709.1000000000004</v>
      </c>
      <c r="AH39" s="47">
        <f t="shared" si="7"/>
        <v>1404.3186000000003</v>
      </c>
      <c r="AI39" s="55">
        <v>1414.0152</v>
      </c>
      <c r="AJ39" s="6"/>
      <c r="AK39" s="55">
        <f>ROUND(AG39/1000,1)</f>
        <v>4.7</v>
      </c>
      <c r="AM39" s="8"/>
    </row>
    <row r="40" spans="1:39" s="1" customFormat="1" ht="94.5" x14ac:dyDescent="0.25">
      <c r="A40" s="238" t="s">
        <v>60</v>
      </c>
      <c r="B40" s="13" t="s">
        <v>61</v>
      </c>
      <c r="C40" s="13" t="s">
        <v>62</v>
      </c>
      <c r="D40" s="13" t="s">
        <v>45</v>
      </c>
      <c r="E40" s="19">
        <v>506</v>
      </c>
      <c r="F40" s="20">
        <f t="shared" si="1"/>
        <v>16561.63</v>
      </c>
      <c r="G40" s="20">
        <f t="shared" si="2"/>
        <v>7034.2999999999993</v>
      </c>
      <c r="H40" s="20">
        <v>5402.69</v>
      </c>
      <c r="I40" s="20">
        <v>0</v>
      </c>
      <c r="J40" s="20">
        <v>0</v>
      </c>
      <c r="K40" s="20">
        <f t="shared" si="3"/>
        <v>1631.61</v>
      </c>
      <c r="L40" s="20">
        <v>0</v>
      </c>
      <c r="M40" s="20">
        <v>821.42</v>
      </c>
      <c r="N40" s="20">
        <v>0</v>
      </c>
      <c r="O40" s="20">
        <v>0</v>
      </c>
      <c r="P40" s="20">
        <v>0</v>
      </c>
      <c r="Q40" s="20">
        <v>256.14999999999998</v>
      </c>
      <c r="R40" s="20">
        <v>1004.57</v>
      </c>
      <c r="S40" s="20">
        <f>1153.45-300</f>
        <v>853.45</v>
      </c>
      <c r="T40" s="20">
        <v>109.94</v>
      </c>
      <c r="U40" s="20">
        <v>0</v>
      </c>
      <c r="V40" s="20">
        <v>493.09</v>
      </c>
      <c r="W40" s="20">
        <v>2.42</v>
      </c>
      <c r="X40" s="20">
        <f t="shared" si="4"/>
        <v>5702.4500000000007</v>
      </c>
      <c r="Y40" s="27">
        <v>4379.76</v>
      </c>
      <c r="Z40" s="20">
        <v>0</v>
      </c>
      <c r="AA40" s="20">
        <v>0</v>
      </c>
      <c r="AB40" s="20">
        <f t="shared" si="5"/>
        <v>1322.69</v>
      </c>
      <c r="AC40" s="25">
        <v>0</v>
      </c>
      <c r="AD40" s="25">
        <f>898.66-614.82</f>
        <v>283.83999999999992</v>
      </c>
      <c r="AE40" s="20">
        <f t="shared" si="6"/>
        <v>8380.2000000000007</v>
      </c>
      <c r="AF40" s="20">
        <v>4.0999999999999996</v>
      </c>
      <c r="AG40" s="237">
        <f>ROUND(AE40+AF40,1)+AE41+AF41</f>
        <v>30909.4</v>
      </c>
      <c r="AH40" s="47">
        <f t="shared" si="7"/>
        <v>6444.7955000000002</v>
      </c>
      <c r="AI40" s="55">
        <v>6489.2982000000002</v>
      </c>
      <c r="AJ40" s="6">
        <f>AE40+AF40</f>
        <v>8384.3000000000011</v>
      </c>
      <c r="AK40" s="55">
        <f>ROUND(AJ40/1000,1)</f>
        <v>8.4</v>
      </c>
      <c r="AM40" s="8"/>
    </row>
    <row r="41" spans="1:39" s="1" customFormat="1" ht="141.75" x14ac:dyDescent="0.25">
      <c r="A41" s="239"/>
      <c r="B41" s="38" t="s">
        <v>63</v>
      </c>
      <c r="C41" s="39" t="s">
        <v>64</v>
      </c>
      <c r="D41" s="38" t="s">
        <v>65</v>
      </c>
      <c r="E41" s="40">
        <v>9880</v>
      </c>
      <c r="F41" s="41">
        <f t="shared" si="1"/>
        <v>2274.5300000000002</v>
      </c>
      <c r="G41" s="41">
        <f t="shared" si="2"/>
        <v>1193.5</v>
      </c>
      <c r="H41" s="41">
        <v>916.67</v>
      </c>
      <c r="I41" s="42">
        <v>0</v>
      </c>
      <c r="J41" s="41">
        <v>0</v>
      </c>
      <c r="K41" s="41">
        <f t="shared" si="3"/>
        <v>276.83</v>
      </c>
      <c r="L41" s="41">
        <v>0</v>
      </c>
      <c r="M41" s="42">
        <v>24.78</v>
      </c>
      <c r="N41" s="42">
        <v>0</v>
      </c>
      <c r="O41" s="42">
        <v>8.77</v>
      </c>
      <c r="P41" s="42">
        <v>0</v>
      </c>
      <c r="Q41" s="42">
        <v>0</v>
      </c>
      <c r="R41" s="41">
        <v>11.49</v>
      </c>
      <c r="S41" s="42">
        <v>26.68</v>
      </c>
      <c r="T41" s="41">
        <v>46.96</v>
      </c>
      <c r="U41" s="41">
        <v>0</v>
      </c>
      <c r="V41" s="42">
        <v>33.92</v>
      </c>
      <c r="W41" s="41">
        <v>27.56</v>
      </c>
      <c r="X41" s="41">
        <f t="shared" si="4"/>
        <v>566.37</v>
      </c>
      <c r="Y41" s="43">
        <v>435</v>
      </c>
      <c r="Z41" s="42">
        <v>0</v>
      </c>
      <c r="AA41" s="41">
        <v>0</v>
      </c>
      <c r="AB41" s="41">
        <f t="shared" si="5"/>
        <v>131.37</v>
      </c>
      <c r="AC41" s="42">
        <v>0</v>
      </c>
      <c r="AD41" s="42">
        <f>470.6-127.33</f>
        <v>343.27000000000004</v>
      </c>
      <c r="AE41" s="51">
        <f t="shared" si="6"/>
        <v>22472.400000000001</v>
      </c>
      <c r="AF41" s="52">
        <v>52.7</v>
      </c>
      <c r="AG41" s="240"/>
      <c r="AH41" s="47">
        <f t="shared" si="7"/>
        <v>17387.515599999999</v>
      </c>
      <c r="AI41" s="55">
        <v>17507.6564</v>
      </c>
      <c r="AJ41" s="6">
        <f>AE41+AF41</f>
        <v>22525.100000000002</v>
      </c>
      <c r="AK41" s="55">
        <f>ROUND(AJ41/1000,1)</f>
        <v>22.5</v>
      </c>
      <c r="AM41" s="8"/>
    </row>
    <row r="42" spans="1:39" ht="22.5" x14ac:dyDescent="0.25">
      <c r="A42" s="9" t="s">
        <v>70</v>
      </c>
      <c r="AE42" s="54">
        <f>SUM(AE11:AE41)</f>
        <v>2040008.4999999998</v>
      </c>
      <c r="AF42" s="54">
        <f>SUM(AF11:AF41)</f>
        <v>4040.4</v>
      </c>
      <c r="AG42" s="53">
        <f>SUM(AG11:AG41)</f>
        <v>2044048.9000000001</v>
      </c>
      <c r="AH42" s="53">
        <f>SUM(AH11:AH41)</f>
        <v>1625031.0000699996</v>
      </c>
      <c r="AI42" s="56">
        <f>SUM(AI11:AI41)</f>
        <v>1636251.699461</v>
      </c>
    </row>
    <row r="43" spans="1:39" ht="20.25" x14ac:dyDescent="0.25">
      <c r="A43" s="9" t="s">
        <v>71</v>
      </c>
      <c r="AE43" s="4"/>
      <c r="AF43" s="4"/>
      <c r="AG43" s="49">
        <v>2055269.6000000003</v>
      </c>
      <c r="AH43" s="49">
        <v>1636251.699461</v>
      </c>
      <c r="AI43" s="50">
        <v>1636251.7</v>
      </c>
    </row>
    <row r="44" spans="1:39" x14ac:dyDescent="0.25">
      <c r="AE44" s="4"/>
      <c r="AF44" s="4"/>
      <c r="AG44" s="50">
        <f>AG42-AG43</f>
        <v>-11220.700000000186</v>
      </c>
      <c r="AH44" s="57">
        <f>AH42-AH43</f>
        <v>-11220.699391000438</v>
      </c>
    </row>
    <row r="45" spans="1:39" x14ac:dyDescent="0.25">
      <c r="AG45" s="2"/>
      <c r="AH45" s="50"/>
      <c r="AI45" s="50"/>
    </row>
  </sheetData>
  <mergeCells count="52"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AG36:AG37"/>
    <mergeCell ref="A40:A41"/>
    <mergeCell ref="AG40:AG41"/>
    <mergeCell ref="AG17:AG19"/>
    <mergeCell ref="AG20:AG22"/>
    <mergeCell ref="AG23:AG25"/>
    <mergeCell ref="AG26:AG28"/>
    <mergeCell ref="AG29:AG31"/>
    <mergeCell ref="AG32:AG33"/>
  </mergeCells>
  <pageMargins left="0" right="0" top="0" bottom="0" header="0.31496062992125984" footer="0.31496062992125984"/>
  <pageSetup paperSize="9" scale="2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49"/>
  <sheetViews>
    <sheetView view="pageBreakPreview" zoomScale="70" zoomScaleNormal="55" zoomScaleSheetLayoutView="70" workbookViewId="0">
      <pane xSplit="5" ySplit="10" topLeftCell="F37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60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  <c r="C2" t="s">
        <v>85</v>
      </c>
    </row>
    <row r="3" spans="1:39" ht="15.75" customHeight="1" x14ac:dyDescent="0.25">
      <c r="A3" s="247" t="s">
        <v>0</v>
      </c>
      <c r="B3" s="243" t="s">
        <v>1</v>
      </c>
      <c r="C3" s="248" t="s">
        <v>2</v>
      </c>
      <c r="D3" s="248"/>
      <c r="E3" s="73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4</v>
      </c>
      <c r="AF3" s="243" t="s">
        <v>5</v>
      </c>
      <c r="AG3" s="244" t="s">
        <v>6</v>
      </c>
    </row>
    <row r="4" spans="1:39" ht="15.75" customHeight="1" x14ac:dyDescent="0.25">
      <c r="A4" s="238"/>
      <c r="B4" s="242"/>
      <c r="C4" s="249" t="s">
        <v>7</v>
      </c>
      <c r="D4" s="249" t="s">
        <v>8</v>
      </c>
      <c r="E4" s="249" t="s">
        <v>9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  <c r="AF4" s="242"/>
      <c r="AG4" s="245"/>
    </row>
    <row r="5" spans="1:39" ht="15" customHeight="1" x14ac:dyDescent="0.25">
      <c r="A5" s="238"/>
      <c r="B5" s="242"/>
      <c r="C5" s="249"/>
      <c r="D5" s="249"/>
      <c r="E5" s="249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  <c r="AF5" s="242"/>
      <c r="AG5" s="245"/>
    </row>
    <row r="6" spans="1:39" ht="15.75" x14ac:dyDescent="0.25">
      <c r="A6" s="238"/>
      <c r="B6" s="242"/>
      <c r="C6" s="249"/>
      <c r="D6" s="249"/>
      <c r="E6" s="249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  <c r="AF6" s="242"/>
      <c r="AG6" s="245"/>
    </row>
    <row r="7" spans="1:39" ht="15" customHeight="1" x14ac:dyDescent="0.25">
      <c r="A7" s="238"/>
      <c r="B7" s="242"/>
      <c r="C7" s="249"/>
      <c r="D7" s="249"/>
      <c r="E7" s="249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  <c r="AF7" s="242"/>
      <c r="AG7" s="245"/>
    </row>
    <row r="8" spans="1:39" ht="15.75" x14ac:dyDescent="0.25">
      <c r="A8" s="238"/>
      <c r="B8" s="242"/>
      <c r="C8" s="249"/>
      <c r="D8" s="249"/>
      <c r="E8" s="249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  <c r="AF8" s="242"/>
      <c r="AG8" s="245"/>
    </row>
    <row r="9" spans="1:39" ht="94.5" x14ac:dyDescent="0.25">
      <c r="A9" s="238"/>
      <c r="B9" s="242"/>
      <c r="C9" s="249"/>
      <c r="D9" s="249"/>
      <c r="E9" s="249"/>
      <c r="F9" s="246"/>
      <c r="G9" s="246"/>
      <c r="H9" s="242"/>
      <c r="I9" s="242"/>
      <c r="J9" s="242"/>
      <c r="K9" s="242"/>
      <c r="L9" s="242"/>
      <c r="M9" s="246"/>
      <c r="N9" s="71" t="s">
        <v>33</v>
      </c>
      <c r="O9" s="71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  <c r="AF9" s="242"/>
      <c r="AG9" s="245"/>
      <c r="AH9" s="44" t="s">
        <v>67</v>
      </c>
      <c r="AI9" s="45" t="s">
        <v>66</v>
      </c>
    </row>
    <row r="10" spans="1:39" ht="15.75" x14ac:dyDescent="0.25">
      <c r="A10" s="72">
        <v>1</v>
      </c>
      <c r="B10" s="78">
        <v>2</v>
      </c>
      <c r="C10" s="74">
        <v>3</v>
      </c>
      <c r="D10" s="78">
        <v>4</v>
      </c>
      <c r="E10" s="74">
        <v>5</v>
      </c>
      <c r="F10" s="78">
        <v>6</v>
      </c>
      <c r="G10" s="74">
        <v>7</v>
      </c>
      <c r="H10" s="78">
        <v>8</v>
      </c>
      <c r="I10" s="74">
        <v>9</v>
      </c>
      <c r="J10" s="78">
        <v>10</v>
      </c>
      <c r="K10" s="74">
        <v>11</v>
      </c>
      <c r="L10" s="78">
        <v>12</v>
      </c>
      <c r="M10" s="74">
        <v>13</v>
      </c>
      <c r="N10" s="71">
        <v>14</v>
      </c>
      <c r="O10" s="78">
        <v>15</v>
      </c>
      <c r="P10" s="78">
        <f>O10+1</f>
        <v>16</v>
      </c>
      <c r="Q10" s="78">
        <f t="shared" ref="Q10:AD10" si="0">P10+1</f>
        <v>17</v>
      </c>
      <c r="R10" s="78">
        <f t="shared" si="0"/>
        <v>18</v>
      </c>
      <c r="S10" s="78">
        <f t="shared" si="0"/>
        <v>19</v>
      </c>
      <c r="T10" s="78">
        <f t="shared" si="0"/>
        <v>20</v>
      </c>
      <c r="U10" s="78">
        <f t="shared" si="0"/>
        <v>21</v>
      </c>
      <c r="V10" s="78">
        <f t="shared" si="0"/>
        <v>22</v>
      </c>
      <c r="W10" s="78">
        <f t="shared" si="0"/>
        <v>23</v>
      </c>
      <c r="X10" s="78">
        <f t="shared" si="0"/>
        <v>24</v>
      </c>
      <c r="Y10" s="78">
        <f t="shared" si="0"/>
        <v>25</v>
      </c>
      <c r="Z10" s="78">
        <f t="shared" si="0"/>
        <v>26</v>
      </c>
      <c r="AA10" s="78">
        <f t="shared" si="0"/>
        <v>27</v>
      </c>
      <c r="AB10" s="78">
        <f t="shared" si="0"/>
        <v>28</v>
      </c>
      <c r="AC10" s="78">
        <f t="shared" si="0"/>
        <v>29</v>
      </c>
      <c r="AD10" s="78">
        <f t="shared" si="0"/>
        <v>30</v>
      </c>
      <c r="AE10" s="78">
        <f>AF10+1</f>
        <v>32</v>
      </c>
      <c r="AF10" s="78">
        <f>AD10+1</f>
        <v>31</v>
      </c>
      <c r="AG10" s="15"/>
      <c r="AH10" s="46"/>
    </row>
    <row r="11" spans="1:39" s="1" customFormat="1" ht="78.75" x14ac:dyDescent="0.25">
      <c r="A11" s="77" t="s">
        <v>35</v>
      </c>
      <c r="B11" s="17" t="s">
        <v>36</v>
      </c>
      <c r="C11" s="17" t="s">
        <v>37</v>
      </c>
      <c r="D11" s="18" t="s">
        <v>38</v>
      </c>
      <c r="E11" s="19">
        <v>104782</v>
      </c>
      <c r="F11" s="20">
        <f t="shared" ref="F11:F39" si="1">SUM(G11,M11,Q11,R11,S11,T11,V11,W11,X11,AD11,P11,U11)</f>
        <v>3837.94364</v>
      </c>
      <c r="G11" s="20">
        <f t="shared" ref="G11:G39" si="2">SUM(H11:L11)</f>
        <v>1654.3</v>
      </c>
      <c r="H11" s="21">
        <v>1270.58</v>
      </c>
      <c r="I11" s="22">
        <v>0</v>
      </c>
      <c r="J11" s="22">
        <v>0</v>
      </c>
      <c r="K11" s="20">
        <f t="shared" ref="K11:K39" si="3">ROUND(H11*0.302,2)</f>
        <v>383.72</v>
      </c>
      <c r="L11" s="22">
        <v>0</v>
      </c>
      <c r="M11" s="22">
        <f>193.85+0.44664</f>
        <v>194.29664</v>
      </c>
      <c r="N11" s="22">
        <v>0</v>
      </c>
      <c r="O11" s="22">
        <v>60.88</v>
      </c>
      <c r="P11" s="22">
        <v>0</v>
      </c>
      <c r="Q11" s="22">
        <v>0.99</v>
      </c>
      <c r="R11" s="21">
        <v>188.44</v>
      </c>
      <c r="S11" s="22">
        <v>85.33</v>
      </c>
      <c r="T11" s="22">
        <f>506.48-216.73-4.673</f>
        <v>285.077</v>
      </c>
      <c r="U11" s="22">
        <v>0</v>
      </c>
      <c r="V11" s="22">
        <v>17.22</v>
      </c>
      <c r="W11" s="22">
        <v>0</v>
      </c>
      <c r="X11" s="20">
        <f t="shared" ref="X11:X39" si="4">SUM(Y11:AC11)</f>
        <v>1351.25</v>
      </c>
      <c r="Y11" s="22">
        <v>1037.83</v>
      </c>
      <c r="Z11" s="22">
        <v>0</v>
      </c>
      <c r="AA11" s="22">
        <v>0</v>
      </c>
      <c r="AB11" s="20">
        <f t="shared" ref="AB11:AB39" si="5">ROUND(Y11*0.302,2)</f>
        <v>313.42</v>
      </c>
      <c r="AC11" s="22">
        <v>0</v>
      </c>
      <c r="AD11" s="22">
        <v>61.04</v>
      </c>
      <c r="AE11" s="20">
        <f t="shared" ref="AE11:AE43" si="6">ROUND(E11*F11/1000,1)</f>
        <v>402147.4</v>
      </c>
      <c r="AF11" s="22">
        <v>761.2</v>
      </c>
      <c r="AG11" s="241">
        <f>ROUND(AE11+AE12+AE13+AF11,1)</f>
        <v>420226.6</v>
      </c>
      <c r="AH11" s="47">
        <f>(G11+X11)*E11/1000</f>
        <v>314927.54010000004</v>
      </c>
      <c r="AI11" s="55">
        <v>317103.33833</v>
      </c>
      <c r="AJ11" s="6"/>
      <c r="AK11" s="55">
        <f>ROUND(AG11/1000,1)</f>
        <v>420.2</v>
      </c>
      <c r="AM11" s="8"/>
    </row>
    <row r="12" spans="1:39" s="1" customFormat="1" ht="63" x14ac:dyDescent="0.25">
      <c r="A12" s="77" t="s">
        <v>35</v>
      </c>
      <c r="B12" s="17" t="s">
        <v>39</v>
      </c>
      <c r="C12" s="17" t="s">
        <v>40</v>
      </c>
      <c r="D12" s="18" t="s">
        <v>38</v>
      </c>
      <c r="E12" s="19">
        <v>241</v>
      </c>
      <c r="F12" s="20">
        <f>SUM(G12,M12,Q12,R12,S12,T12,V12,W12,X12,AD12,P12,U12)</f>
        <v>29940.260000000006</v>
      </c>
      <c r="G12" s="20">
        <f t="shared" si="2"/>
        <v>25716.06</v>
      </c>
      <c r="H12" s="22">
        <v>19751.2</v>
      </c>
      <c r="I12" s="22">
        <v>0</v>
      </c>
      <c r="J12" s="22">
        <v>0</v>
      </c>
      <c r="K12" s="20">
        <f t="shared" si="3"/>
        <v>5964.86</v>
      </c>
      <c r="L12" s="22">
        <v>0</v>
      </c>
      <c r="M12" s="22">
        <v>230.25</v>
      </c>
      <c r="N12" s="22">
        <v>0</v>
      </c>
      <c r="O12" s="22">
        <v>36.64</v>
      </c>
      <c r="P12" s="22">
        <v>0</v>
      </c>
      <c r="Q12" s="22">
        <v>51</v>
      </c>
      <c r="R12" s="22">
        <v>108.74</v>
      </c>
      <c r="S12" s="22">
        <v>519.36</v>
      </c>
      <c r="T12" s="22">
        <v>217.41</v>
      </c>
      <c r="U12" s="22">
        <v>0</v>
      </c>
      <c r="V12" s="22">
        <v>12.14</v>
      </c>
      <c r="W12" s="22">
        <v>0</v>
      </c>
      <c r="X12" s="20">
        <f t="shared" si="4"/>
        <v>2556.4</v>
      </c>
      <c r="Y12" s="22">
        <v>1963.44</v>
      </c>
      <c r="Z12" s="22">
        <v>0</v>
      </c>
      <c r="AA12" s="22">
        <v>0</v>
      </c>
      <c r="AB12" s="20">
        <f t="shared" si="5"/>
        <v>592.96</v>
      </c>
      <c r="AC12" s="22">
        <v>0</v>
      </c>
      <c r="AD12" s="22">
        <v>528.9</v>
      </c>
      <c r="AE12" s="20">
        <f>ROUND(E12*F12/1000,1)</f>
        <v>7215.6</v>
      </c>
      <c r="AF12" s="22">
        <v>0</v>
      </c>
      <c r="AG12" s="241"/>
      <c r="AH12" s="47">
        <f t="shared" ref="AH12:AH39" si="7">(G12+X12)*E12/1000</f>
        <v>6813.6628600000004</v>
      </c>
      <c r="AI12" s="55">
        <v>6860.7111209999994</v>
      </c>
      <c r="AJ12" s="6"/>
      <c r="AK12" s="7"/>
      <c r="AM12" s="8"/>
    </row>
    <row r="13" spans="1:39" s="1" customFormat="1" ht="56.25" x14ac:dyDescent="0.25">
      <c r="A13" s="23" t="s">
        <v>35</v>
      </c>
      <c r="B13" s="17" t="s">
        <v>41</v>
      </c>
      <c r="C13" s="79" t="s">
        <v>42</v>
      </c>
      <c r="D13" s="18" t="s">
        <v>38</v>
      </c>
      <c r="E13" s="19">
        <v>90</v>
      </c>
      <c r="F13" s="20">
        <f t="shared" si="1"/>
        <v>112248.58</v>
      </c>
      <c r="G13" s="20">
        <f t="shared" si="2"/>
        <v>77951.51999999999</v>
      </c>
      <c r="H13" s="21">
        <v>59870.6</v>
      </c>
      <c r="I13" s="22">
        <v>0</v>
      </c>
      <c r="J13" s="22">
        <v>0</v>
      </c>
      <c r="K13" s="20">
        <f t="shared" si="3"/>
        <v>18080.919999999998</v>
      </c>
      <c r="L13" s="22">
        <v>0</v>
      </c>
      <c r="M13" s="22">
        <v>846.83</v>
      </c>
      <c r="N13" s="22">
        <v>0</v>
      </c>
      <c r="O13" s="22">
        <v>77.099999999999994</v>
      </c>
      <c r="P13" s="22">
        <v>0</v>
      </c>
      <c r="Q13" s="22">
        <v>11477.33</v>
      </c>
      <c r="R13" s="22">
        <v>429.42</v>
      </c>
      <c r="S13" s="22">
        <v>1132.3599999999999</v>
      </c>
      <c r="T13" s="22">
        <f>13251.83-6393.33</f>
        <v>6858.5</v>
      </c>
      <c r="U13" s="22">
        <v>0</v>
      </c>
      <c r="V13" s="22">
        <v>62.22</v>
      </c>
      <c r="W13" s="22">
        <v>0</v>
      </c>
      <c r="X13" s="20">
        <f t="shared" si="4"/>
        <v>11018.27</v>
      </c>
      <c r="Y13" s="22">
        <v>8462.57</v>
      </c>
      <c r="Z13" s="22">
        <v>0</v>
      </c>
      <c r="AA13" s="22">
        <v>0</v>
      </c>
      <c r="AB13" s="20">
        <f t="shared" si="5"/>
        <v>2555.6999999999998</v>
      </c>
      <c r="AC13" s="22">
        <v>0</v>
      </c>
      <c r="AD13" s="22">
        <v>2472.13</v>
      </c>
      <c r="AE13" s="20">
        <f t="shared" si="6"/>
        <v>10102.4</v>
      </c>
      <c r="AF13" s="22">
        <v>0</v>
      </c>
      <c r="AG13" s="241"/>
      <c r="AH13" s="47">
        <f t="shared" si="7"/>
        <v>8007.2810999999992</v>
      </c>
      <c r="AI13" s="55">
        <v>8062.5699000000004</v>
      </c>
      <c r="AJ13" s="6"/>
      <c r="AK13" s="7"/>
      <c r="AM13" s="8"/>
    </row>
    <row r="14" spans="1:39" s="1" customFormat="1" ht="78.75" x14ac:dyDescent="0.25">
      <c r="A14" s="77" t="s">
        <v>43</v>
      </c>
      <c r="B14" s="17" t="s">
        <v>36</v>
      </c>
      <c r="C14" s="17" t="s">
        <v>37</v>
      </c>
      <c r="D14" s="17" t="s">
        <v>38</v>
      </c>
      <c r="E14" s="19">
        <v>46346</v>
      </c>
      <c r="F14" s="20">
        <f t="shared" si="1"/>
        <v>4058.672</v>
      </c>
      <c r="G14" s="20">
        <f t="shared" si="2"/>
        <v>1943.48</v>
      </c>
      <c r="H14" s="20">
        <v>1492.69</v>
      </c>
      <c r="I14" s="25">
        <v>0</v>
      </c>
      <c r="J14" s="25">
        <v>0</v>
      </c>
      <c r="K14" s="20">
        <f t="shared" si="3"/>
        <v>450.79</v>
      </c>
      <c r="L14" s="25">
        <v>0</v>
      </c>
      <c r="M14" s="21">
        <f>227.52+0.002</f>
        <v>227.52200000000002</v>
      </c>
      <c r="N14" s="20">
        <v>61.36</v>
      </c>
      <c r="O14" s="25">
        <v>3.34</v>
      </c>
      <c r="P14" s="26">
        <v>0</v>
      </c>
      <c r="Q14" s="25">
        <v>156.4</v>
      </c>
      <c r="R14" s="20">
        <f>294.76-150</f>
        <v>144.76</v>
      </c>
      <c r="S14" s="25">
        <v>117.26</v>
      </c>
      <c r="T14" s="25">
        <v>93.7</v>
      </c>
      <c r="U14" s="20">
        <v>0</v>
      </c>
      <c r="V14" s="25">
        <v>20.64</v>
      </c>
      <c r="W14" s="25">
        <v>0</v>
      </c>
      <c r="X14" s="20">
        <f t="shared" si="4"/>
        <v>1282.73</v>
      </c>
      <c r="Y14" s="27">
        <v>985.2</v>
      </c>
      <c r="Z14" s="27">
        <v>0</v>
      </c>
      <c r="AA14" s="27">
        <v>0</v>
      </c>
      <c r="AB14" s="20">
        <f t="shared" si="5"/>
        <v>297.52999999999997</v>
      </c>
      <c r="AC14" s="25">
        <v>0</v>
      </c>
      <c r="AD14" s="25">
        <f>154.87-82.69</f>
        <v>72.180000000000007</v>
      </c>
      <c r="AE14" s="20">
        <f t="shared" si="6"/>
        <v>188103.2</v>
      </c>
      <c r="AF14" s="25">
        <v>301.7</v>
      </c>
      <c r="AG14" s="237">
        <f>ROUND(AF14+AE15+AE16+AE14,1)</f>
        <v>196243</v>
      </c>
      <c r="AH14" s="47">
        <f t="shared" si="7"/>
        <v>149521.92866000001</v>
      </c>
      <c r="AI14" s="55">
        <v>150554.51754</v>
      </c>
      <c r="AJ14" s="6"/>
      <c r="AK14" s="55">
        <f>ROUND(AG14/1000,1)</f>
        <v>196.2</v>
      </c>
      <c r="AM14" s="8"/>
    </row>
    <row r="15" spans="1:39" s="1" customFormat="1" ht="63" x14ac:dyDescent="0.25">
      <c r="A15" s="77" t="s">
        <v>43</v>
      </c>
      <c r="B15" s="17" t="s">
        <v>39</v>
      </c>
      <c r="C15" s="17" t="s">
        <v>40</v>
      </c>
      <c r="D15" s="17" t="s">
        <v>38</v>
      </c>
      <c r="E15" s="19">
        <v>233</v>
      </c>
      <c r="F15" s="20">
        <f t="shared" si="1"/>
        <v>30859.97</v>
      </c>
      <c r="G15" s="20">
        <f t="shared" si="2"/>
        <v>5489.09</v>
      </c>
      <c r="H15" s="20">
        <v>4215.8900000000003</v>
      </c>
      <c r="I15" s="25">
        <v>0</v>
      </c>
      <c r="J15" s="25">
        <v>0</v>
      </c>
      <c r="K15" s="20">
        <f t="shared" si="3"/>
        <v>1273.2</v>
      </c>
      <c r="L15" s="25">
        <v>0</v>
      </c>
      <c r="M15" s="25">
        <v>6623.61</v>
      </c>
      <c r="N15" s="20">
        <v>5855.04</v>
      </c>
      <c r="O15" s="25">
        <v>663.14</v>
      </c>
      <c r="P15" s="26">
        <v>0</v>
      </c>
      <c r="Q15" s="25">
        <f>2374.46-448.93</f>
        <v>1925.53</v>
      </c>
      <c r="R15" s="20">
        <v>175.14</v>
      </c>
      <c r="S15" s="25">
        <v>107.93</v>
      </c>
      <c r="T15" s="25">
        <v>48.95</v>
      </c>
      <c r="U15" s="20">
        <v>0</v>
      </c>
      <c r="V15" s="25">
        <v>38.43</v>
      </c>
      <c r="W15" s="25">
        <v>15570.82</v>
      </c>
      <c r="X15" s="20">
        <f t="shared" si="4"/>
        <v>744.81</v>
      </c>
      <c r="Y15" s="27">
        <v>572.04999999999995</v>
      </c>
      <c r="Z15" s="27">
        <v>0</v>
      </c>
      <c r="AA15" s="27">
        <v>0</v>
      </c>
      <c r="AB15" s="20">
        <f t="shared" si="5"/>
        <v>172.76</v>
      </c>
      <c r="AC15" s="25">
        <v>0</v>
      </c>
      <c r="AD15" s="25">
        <v>135.66</v>
      </c>
      <c r="AE15" s="20">
        <f t="shared" si="6"/>
        <v>7190.4</v>
      </c>
      <c r="AF15" s="25">
        <v>0</v>
      </c>
      <c r="AG15" s="237"/>
      <c r="AH15" s="47">
        <f t="shared" si="7"/>
        <v>1452.4986999999999</v>
      </c>
      <c r="AI15" s="55">
        <v>1462.52702</v>
      </c>
      <c r="AJ15" s="6"/>
      <c r="AK15" s="7"/>
      <c r="AM15" s="8"/>
    </row>
    <row r="16" spans="1:39" s="1" customFormat="1" ht="47.25" x14ac:dyDescent="0.25">
      <c r="A16" s="77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323871.60000000009</v>
      </c>
      <c r="G16" s="20">
        <f t="shared" si="2"/>
        <v>314637.91000000003</v>
      </c>
      <c r="H16" s="20">
        <v>241657.38</v>
      </c>
      <c r="I16" s="20">
        <v>0</v>
      </c>
      <c r="J16" s="20">
        <v>0</v>
      </c>
      <c r="K16" s="20">
        <f t="shared" si="3"/>
        <v>72980.53</v>
      </c>
      <c r="L16" s="20">
        <v>0</v>
      </c>
      <c r="M16" s="20">
        <f>28769.2-22750</f>
        <v>6019.2000000000007</v>
      </c>
      <c r="N16" s="20">
        <v>0</v>
      </c>
      <c r="O16" s="20">
        <v>1132.1500000000001</v>
      </c>
      <c r="P16" s="20">
        <v>0</v>
      </c>
      <c r="Q16" s="20">
        <v>800</v>
      </c>
      <c r="R16" s="20">
        <v>475.34</v>
      </c>
      <c r="S16" s="20">
        <v>179.78</v>
      </c>
      <c r="T16" s="20">
        <v>0</v>
      </c>
      <c r="U16" s="20">
        <v>0</v>
      </c>
      <c r="V16" s="20">
        <v>24.06</v>
      </c>
      <c r="W16" s="20">
        <v>0</v>
      </c>
      <c r="X16" s="20">
        <f t="shared" si="4"/>
        <v>1735.31</v>
      </c>
      <c r="Y16" s="20">
        <v>1332.8</v>
      </c>
      <c r="Z16" s="20">
        <v>0</v>
      </c>
      <c r="AA16" s="20">
        <v>0</v>
      </c>
      <c r="AB16" s="20">
        <f t="shared" si="5"/>
        <v>402.51</v>
      </c>
      <c r="AC16" s="25">
        <v>0</v>
      </c>
      <c r="AD16" s="25">
        <v>0</v>
      </c>
      <c r="AE16" s="20">
        <f t="shared" si="6"/>
        <v>647.70000000000005</v>
      </c>
      <c r="AF16" s="20">
        <v>0</v>
      </c>
      <c r="AG16" s="237"/>
      <c r="AH16" s="47">
        <f t="shared" si="7"/>
        <v>632.74644000000001</v>
      </c>
      <c r="AI16" s="55">
        <v>637.1154600000001</v>
      </c>
      <c r="AJ16" s="6"/>
      <c r="AK16" s="7"/>
      <c r="AM16" s="8"/>
    </row>
    <row r="17" spans="1:39" s="1" customFormat="1" ht="78.75" x14ac:dyDescent="0.25">
      <c r="A17" s="77" t="s">
        <v>44</v>
      </c>
      <c r="B17" s="17" t="s">
        <v>36</v>
      </c>
      <c r="C17" s="17" t="s">
        <v>37</v>
      </c>
      <c r="D17" s="17" t="s">
        <v>45</v>
      </c>
      <c r="E17" s="19">
        <v>80379</v>
      </c>
      <c r="F17" s="20">
        <f t="shared" si="1"/>
        <v>2727.2490000000003</v>
      </c>
      <c r="G17" s="20">
        <f t="shared" si="2"/>
        <v>1571.0800000000002</v>
      </c>
      <c r="H17" s="20">
        <v>1206.67</v>
      </c>
      <c r="I17" s="25">
        <v>0</v>
      </c>
      <c r="J17" s="25">
        <v>0</v>
      </c>
      <c r="K17" s="20">
        <f t="shared" si="3"/>
        <v>364.41</v>
      </c>
      <c r="L17" s="25">
        <v>0</v>
      </c>
      <c r="M17" s="21">
        <f>319.38-0.001</f>
        <v>319.37900000000002</v>
      </c>
      <c r="N17" s="25">
        <v>72.27</v>
      </c>
      <c r="O17" s="25">
        <v>55.79</v>
      </c>
      <c r="P17" s="26">
        <v>0</v>
      </c>
      <c r="Q17" s="25">
        <v>70.36</v>
      </c>
      <c r="R17" s="25">
        <v>84.51</v>
      </c>
      <c r="S17" s="25">
        <f>210.86-152.41</f>
        <v>58.450000000000017</v>
      </c>
      <c r="T17" s="25">
        <v>50.17</v>
      </c>
      <c r="U17" s="20">
        <v>0</v>
      </c>
      <c r="V17" s="25">
        <v>11.01</v>
      </c>
      <c r="W17" s="25">
        <v>0</v>
      </c>
      <c r="X17" s="20">
        <f t="shared" si="4"/>
        <v>548.26</v>
      </c>
      <c r="Y17" s="27">
        <v>421.09</v>
      </c>
      <c r="Z17" s="25">
        <v>0</v>
      </c>
      <c r="AA17" s="25">
        <v>0</v>
      </c>
      <c r="AB17" s="20">
        <f t="shared" si="5"/>
        <v>127.17</v>
      </c>
      <c r="AC17" s="25">
        <v>0</v>
      </c>
      <c r="AD17" s="25">
        <v>14.03</v>
      </c>
      <c r="AE17" s="20">
        <f t="shared" si="6"/>
        <v>219213.5</v>
      </c>
      <c r="AF17" s="25">
        <v>406.4</v>
      </c>
      <c r="AG17" s="237">
        <f>ROUND(AE17+AE18+AE19+AF17,1)</f>
        <v>225295.7</v>
      </c>
      <c r="AH17" s="47">
        <f t="shared" si="7"/>
        <v>170350.42986</v>
      </c>
      <c r="AI17" s="55">
        <v>171527.17841999998</v>
      </c>
      <c r="AJ17" s="6"/>
      <c r="AK17" s="55">
        <f>ROUND(AG17/1000,1)</f>
        <v>225.3</v>
      </c>
      <c r="AM17" s="8"/>
    </row>
    <row r="18" spans="1:39" s="1" customFormat="1" ht="63" x14ac:dyDescent="0.25">
      <c r="A18" s="77" t="s">
        <v>44</v>
      </c>
      <c r="B18" s="17" t="s">
        <v>39</v>
      </c>
      <c r="C18" s="17" t="s">
        <v>40</v>
      </c>
      <c r="D18" s="17" t="s">
        <v>45</v>
      </c>
      <c r="E18" s="19">
        <v>300</v>
      </c>
      <c r="F18" s="20">
        <f t="shared" si="1"/>
        <v>17292.489999999998</v>
      </c>
      <c r="G18" s="20">
        <f t="shared" si="2"/>
        <v>12421.25</v>
      </c>
      <c r="H18" s="20">
        <v>9540.1299999999992</v>
      </c>
      <c r="I18" s="25">
        <v>0</v>
      </c>
      <c r="J18" s="25">
        <v>0</v>
      </c>
      <c r="K18" s="20">
        <f t="shared" si="3"/>
        <v>2881.12</v>
      </c>
      <c r="L18" s="25">
        <v>0</v>
      </c>
      <c r="M18" s="25">
        <v>1175</v>
      </c>
      <c r="N18" s="25">
        <v>500</v>
      </c>
      <c r="O18" s="25">
        <v>483.33</v>
      </c>
      <c r="P18" s="26">
        <v>0</v>
      </c>
      <c r="Q18" s="25">
        <v>233.33</v>
      </c>
      <c r="R18" s="25">
        <v>205.23</v>
      </c>
      <c r="S18" s="25">
        <f>1815.12-993.33</f>
        <v>821.78999999999985</v>
      </c>
      <c r="T18" s="25">
        <v>0</v>
      </c>
      <c r="U18" s="20">
        <v>0</v>
      </c>
      <c r="V18" s="25">
        <v>68.83</v>
      </c>
      <c r="W18" s="25">
        <v>0</v>
      </c>
      <c r="X18" s="20">
        <f t="shared" si="4"/>
        <v>1400.3899999999999</v>
      </c>
      <c r="Y18" s="27">
        <v>1075.57</v>
      </c>
      <c r="Z18" s="25">
        <v>0</v>
      </c>
      <c r="AA18" s="25">
        <v>0</v>
      </c>
      <c r="AB18" s="20">
        <f t="shared" si="5"/>
        <v>324.82</v>
      </c>
      <c r="AC18" s="25">
        <v>0</v>
      </c>
      <c r="AD18" s="25">
        <v>966.67</v>
      </c>
      <c r="AE18" s="20">
        <f t="shared" si="6"/>
        <v>5187.7</v>
      </c>
      <c r="AF18" s="25">
        <v>0</v>
      </c>
      <c r="AG18" s="237"/>
      <c r="AH18" s="47">
        <f t="shared" si="7"/>
        <v>4146.4920000000002</v>
      </c>
      <c r="AI18" s="55">
        <v>4175.1239999999998</v>
      </c>
      <c r="AJ18" s="6"/>
      <c r="AK18" s="7"/>
      <c r="AM18" s="8"/>
    </row>
    <row r="19" spans="1:39" s="1" customFormat="1" ht="47.25" x14ac:dyDescent="0.25">
      <c r="A19" s="77" t="s">
        <v>44</v>
      </c>
      <c r="B19" s="17" t="s">
        <v>41</v>
      </c>
      <c r="C19" s="17" t="s">
        <v>42</v>
      </c>
      <c r="D19" s="17" t="s">
        <v>38</v>
      </c>
      <c r="E19" s="19">
        <v>1</v>
      </c>
      <c r="F19" s="20">
        <f t="shared" si="1"/>
        <v>488067.85000000003</v>
      </c>
      <c r="G19" s="20">
        <f t="shared" si="2"/>
        <v>267350.28000000003</v>
      </c>
      <c r="H19" s="20">
        <v>205338.16</v>
      </c>
      <c r="I19" s="25">
        <v>0</v>
      </c>
      <c r="J19" s="25">
        <v>0</v>
      </c>
      <c r="K19" s="20">
        <f t="shared" si="3"/>
        <v>62012.12</v>
      </c>
      <c r="L19" s="25">
        <v>0</v>
      </c>
      <c r="M19" s="25">
        <f>120172.86-24000</f>
        <v>96172.86</v>
      </c>
      <c r="N19" s="25">
        <f>M19-O19</f>
        <v>93272.86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66837.570000000007</v>
      </c>
      <c r="Y19" s="25">
        <v>51334.54</v>
      </c>
      <c r="Z19" s="20">
        <v>0</v>
      </c>
      <c r="AA19" s="27">
        <v>0</v>
      </c>
      <c r="AB19" s="20">
        <f t="shared" si="5"/>
        <v>15503.03</v>
      </c>
      <c r="AC19" s="25">
        <v>0</v>
      </c>
      <c r="AD19" s="25">
        <v>20000</v>
      </c>
      <c r="AE19" s="20">
        <f t="shared" si="6"/>
        <v>488.1</v>
      </c>
      <c r="AF19" s="25">
        <v>0</v>
      </c>
      <c r="AG19" s="237"/>
      <c r="AH19" s="47">
        <f t="shared" si="7"/>
        <v>334.18785000000003</v>
      </c>
      <c r="AI19" s="55">
        <v>336.49538999999999</v>
      </c>
      <c r="AJ19" s="6"/>
      <c r="AK19" s="7"/>
      <c r="AM19" s="8"/>
    </row>
    <row r="20" spans="1:39" s="1" customFormat="1" ht="78.75" x14ac:dyDescent="0.25">
      <c r="A20" s="77" t="s">
        <v>46</v>
      </c>
      <c r="B20" s="78" t="s">
        <v>36</v>
      </c>
      <c r="C20" s="17" t="s">
        <v>37</v>
      </c>
      <c r="D20" s="78" t="s">
        <v>45</v>
      </c>
      <c r="E20" s="19">
        <v>35544</v>
      </c>
      <c r="F20" s="20">
        <f t="shared" si="1"/>
        <v>8007.09</v>
      </c>
      <c r="G20" s="20">
        <f t="shared" si="2"/>
        <v>4803.0700000000006</v>
      </c>
      <c r="H20" s="20">
        <v>3629.94</v>
      </c>
      <c r="I20" s="20">
        <v>0</v>
      </c>
      <c r="J20" s="20">
        <v>0</v>
      </c>
      <c r="K20" s="20">
        <f t="shared" si="3"/>
        <v>1096.24</v>
      </c>
      <c r="L20" s="20">
        <v>76.89</v>
      </c>
      <c r="M20" s="21">
        <f>924.37-0.009-457.84-6.761</f>
        <v>459.76</v>
      </c>
      <c r="N20" s="20">
        <v>191.16</v>
      </c>
      <c r="O20" s="20">
        <v>25.49</v>
      </c>
      <c r="P20" s="26">
        <v>0</v>
      </c>
      <c r="Q20" s="20">
        <v>0</v>
      </c>
      <c r="R20" s="20">
        <v>262.39999999999998</v>
      </c>
      <c r="S20" s="20">
        <v>372.8</v>
      </c>
      <c r="T20" s="20">
        <v>405.48</v>
      </c>
      <c r="U20" s="20">
        <v>0</v>
      </c>
      <c r="V20" s="20">
        <v>9.08</v>
      </c>
      <c r="W20" s="20">
        <v>1.51</v>
      </c>
      <c r="X20" s="20">
        <f t="shared" si="4"/>
        <v>1646.08</v>
      </c>
      <c r="Y20" s="27">
        <v>1264.27</v>
      </c>
      <c r="Z20" s="20">
        <v>0</v>
      </c>
      <c r="AA20" s="20">
        <v>0</v>
      </c>
      <c r="AB20" s="20">
        <f t="shared" si="5"/>
        <v>381.81</v>
      </c>
      <c r="AC20" s="25">
        <v>0</v>
      </c>
      <c r="AD20" s="25">
        <v>46.91</v>
      </c>
      <c r="AE20" s="20">
        <f t="shared" si="6"/>
        <v>284604</v>
      </c>
      <c r="AF20" s="20">
        <v>164.4</v>
      </c>
      <c r="AG20" s="237">
        <f>ROUND(AE20+AE21+AE22+AF20,1)</f>
        <v>292302.5</v>
      </c>
      <c r="AH20" s="47">
        <f t="shared" si="7"/>
        <v>229228.58760000003</v>
      </c>
      <c r="AI20" s="55">
        <v>230811.51823999998</v>
      </c>
      <c r="AJ20" s="6"/>
      <c r="AK20" s="55">
        <f>ROUND(AG20/1000,1)</f>
        <v>292.3</v>
      </c>
      <c r="AM20" s="8"/>
    </row>
    <row r="21" spans="1:39" s="1" customFormat="1" ht="63" x14ac:dyDescent="0.25">
      <c r="A21" s="77" t="s">
        <v>46</v>
      </c>
      <c r="B21" s="78" t="s">
        <v>39</v>
      </c>
      <c r="C21" s="17" t="s">
        <v>40</v>
      </c>
      <c r="D21" s="78" t="s">
        <v>45</v>
      </c>
      <c r="E21" s="19">
        <v>180</v>
      </c>
      <c r="F21" s="20">
        <f t="shared" si="1"/>
        <v>22586.61</v>
      </c>
      <c r="G21" s="20">
        <f t="shared" si="2"/>
        <v>14342.35</v>
      </c>
      <c r="H21" s="20">
        <v>10338.61</v>
      </c>
      <c r="I21" s="20">
        <v>0</v>
      </c>
      <c r="J21" s="20">
        <v>0</v>
      </c>
      <c r="K21" s="20">
        <f t="shared" si="3"/>
        <v>3122.26</v>
      </c>
      <c r="L21" s="20">
        <v>881.48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f>1804.91-1457.22</f>
        <v>347.69000000000005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6811.8899999999994</v>
      </c>
      <c r="Y21" s="27">
        <v>5231.87</v>
      </c>
      <c r="Z21" s="20">
        <v>0</v>
      </c>
      <c r="AA21" s="20">
        <v>0</v>
      </c>
      <c r="AB21" s="20">
        <f t="shared" si="5"/>
        <v>1580.02</v>
      </c>
      <c r="AC21" s="25">
        <v>0</v>
      </c>
      <c r="AD21" s="25">
        <v>250</v>
      </c>
      <c r="AE21" s="20">
        <f t="shared" si="6"/>
        <v>4065.6</v>
      </c>
      <c r="AF21" s="20">
        <v>0</v>
      </c>
      <c r="AG21" s="237"/>
      <c r="AH21" s="47">
        <f t="shared" si="7"/>
        <v>3807.7631999999999</v>
      </c>
      <c r="AI21" s="55">
        <v>3834.0583999999994</v>
      </c>
      <c r="AJ21" s="6"/>
      <c r="AK21" s="7"/>
      <c r="AM21" s="8"/>
    </row>
    <row r="22" spans="1:39" s="1" customFormat="1" ht="47.25" x14ac:dyDescent="0.25">
      <c r="A22" s="77" t="s">
        <v>46</v>
      </c>
      <c r="B22" s="17" t="s">
        <v>41</v>
      </c>
      <c r="C22" s="17" t="s">
        <v>42</v>
      </c>
      <c r="D22" s="78" t="s">
        <v>38</v>
      </c>
      <c r="E22" s="19">
        <v>16</v>
      </c>
      <c r="F22" s="20">
        <f t="shared" si="1"/>
        <v>216779.86999999997</v>
      </c>
      <c r="G22" s="20">
        <f t="shared" si="2"/>
        <v>148933.09999999998</v>
      </c>
      <c r="H22" s="20">
        <v>112695.84</v>
      </c>
      <c r="I22" s="20">
        <v>0</v>
      </c>
      <c r="J22" s="20">
        <v>0</v>
      </c>
      <c r="K22" s="20">
        <f t="shared" si="3"/>
        <v>34034.14</v>
      </c>
      <c r="L22" s="20">
        <f>2080.45+122.67</f>
        <v>2203.12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3210.74+6.25</f>
        <v>3216.99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62358.37</v>
      </c>
      <c r="Y22" s="20">
        <v>47894.29</v>
      </c>
      <c r="Z22" s="20">
        <v>0</v>
      </c>
      <c r="AA22" s="20">
        <v>0</v>
      </c>
      <c r="AB22" s="20">
        <f t="shared" si="5"/>
        <v>14464.08</v>
      </c>
      <c r="AC22" s="25">
        <v>0</v>
      </c>
      <c r="AD22" s="25">
        <v>0</v>
      </c>
      <c r="AE22" s="20">
        <f t="shared" si="6"/>
        <v>3468.5</v>
      </c>
      <c r="AF22" s="20"/>
      <c r="AG22" s="237"/>
      <c r="AH22" s="47">
        <f t="shared" si="7"/>
        <v>3380.6635199999996</v>
      </c>
      <c r="AI22" s="55">
        <v>3402.0305999999996</v>
      </c>
      <c r="AJ22" s="6"/>
      <c r="AK22" s="7"/>
      <c r="AM22" s="8"/>
    </row>
    <row r="23" spans="1:39" s="1" customFormat="1" ht="78.75" x14ac:dyDescent="0.25">
      <c r="A23" s="77" t="s">
        <v>47</v>
      </c>
      <c r="B23" s="17" t="s">
        <v>36</v>
      </c>
      <c r="C23" s="17" t="s">
        <v>37</v>
      </c>
      <c r="D23" s="28" t="s">
        <v>38</v>
      </c>
      <c r="E23" s="19">
        <v>41500</v>
      </c>
      <c r="F23" s="20">
        <f t="shared" si="1"/>
        <v>5554.7729999999992</v>
      </c>
      <c r="G23" s="20">
        <f t="shared" si="2"/>
        <v>3504.23</v>
      </c>
      <c r="H23" s="20">
        <v>2691.42</v>
      </c>
      <c r="I23" s="25">
        <v>0</v>
      </c>
      <c r="J23" s="25">
        <v>0</v>
      </c>
      <c r="K23" s="20">
        <f t="shared" si="3"/>
        <v>812.81</v>
      </c>
      <c r="L23" s="25">
        <v>0</v>
      </c>
      <c r="M23" s="21">
        <f>734.4-0.007-317.92</f>
        <v>416.47300000000001</v>
      </c>
      <c r="N23" s="25">
        <f>M23-O23</f>
        <v>401.363</v>
      </c>
      <c r="O23" s="25">
        <v>15.11</v>
      </c>
      <c r="P23" s="26">
        <v>0</v>
      </c>
      <c r="Q23" s="25">
        <v>163.44999999999999</v>
      </c>
      <c r="R23" s="25">
        <v>149.93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918.07999999999993</v>
      </c>
      <c r="Y23" s="27">
        <v>705.13</v>
      </c>
      <c r="Z23" s="27">
        <v>0</v>
      </c>
      <c r="AA23" s="27">
        <v>0</v>
      </c>
      <c r="AB23" s="20">
        <f t="shared" si="5"/>
        <v>212.95</v>
      </c>
      <c r="AC23" s="25">
        <v>0</v>
      </c>
      <c r="AD23" s="25">
        <v>22.35</v>
      </c>
      <c r="AE23" s="20">
        <f t="shared" si="6"/>
        <v>230523.1</v>
      </c>
      <c r="AF23" s="27">
        <v>294.2</v>
      </c>
      <c r="AG23" s="237">
        <f>ROUND(AE23+AE24+AE25+AF23,1)</f>
        <v>246645.8</v>
      </c>
      <c r="AH23" s="47">
        <f t="shared" si="7"/>
        <v>183525.86499999996</v>
      </c>
      <c r="AI23" s="55">
        <v>184792.86</v>
      </c>
      <c r="AJ23" s="6"/>
      <c r="AK23" s="55">
        <f>ROUND(AG23/1000,1)</f>
        <v>246.6</v>
      </c>
      <c r="AM23" s="8"/>
    </row>
    <row r="24" spans="1:39" s="1" customFormat="1" ht="63" x14ac:dyDescent="0.25">
      <c r="A24" s="77" t="s">
        <v>47</v>
      </c>
      <c r="B24" s="17" t="s">
        <v>39</v>
      </c>
      <c r="C24" s="17" t="s">
        <v>40</v>
      </c>
      <c r="D24" s="28" t="s">
        <v>38</v>
      </c>
      <c r="E24" s="19">
        <v>350</v>
      </c>
      <c r="F24" s="20">
        <f t="shared" si="1"/>
        <v>15123.990000000002</v>
      </c>
      <c r="G24" s="20">
        <f t="shared" si="2"/>
        <v>11327.310000000001</v>
      </c>
      <c r="H24" s="20">
        <v>8699.93</v>
      </c>
      <c r="I24" s="25">
        <v>0</v>
      </c>
      <c r="J24" s="25">
        <v>0</v>
      </c>
      <c r="K24" s="20">
        <f t="shared" si="3"/>
        <v>2627.38</v>
      </c>
      <c r="L24" s="25">
        <v>0</v>
      </c>
      <c r="M24" s="25">
        <v>485.35</v>
      </c>
      <c r="N24" s="25">
        <v>0</v>
      </c>
      <c r="O24" s="25">
        <v>0</v>
      </c>
      <c r="P24" s="26">
        <v>0</v>
      </c>
      <c r="Q24" s="25">
        <f>2727.59-880</f>
        <v>1847.5900000000001</v>
      </c>
      <c r="R24" s="25">
        <v>149.93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918.07999999999993</v>
      </c>
      <c r="Y24" s="27">
        <v>705.13</v>
      </c>
      <c r="Z24" s="27">
        <v>0</v>
      </c>
      <c r="AA24" s="27">
        <v>0</v>
      </c>
      <c r="AB24" s="20">
        <f t="shared" si="5"/>
        <v>212.95</v>
      </c>
      <c r="AC24" s="25">
        <v>0</v>
      </c>
      <c r="AD24" s="25">
        <v>22.35</v>
      </c>
      <c r="AE24" s="20">
        <f t="shared" si="6"/>
        <v>5293.4</v>
      </c>
      <c r="AF24" s="27">
        <v>0</v>
      </c>
      <c r="AG24" s="237"/>
      <c r="AH24" s="47">
        <f t="shared" si="7"/>
        <v>4285.8864999999996</v>
      </c>
      <c r="AI24" s="55">
        <v>4315.4790000000003</v>
      </c>
      <c r="AJ24" s="6"/>
      <c r="AK24" s="7"/>
      <c r="AM24" s="8"/>
    </row>
    <row r="25" spans="1:39" s="1" customFormat="1" ht="45" x14ac:dyDescent="0.25">
      <c r="A25" s="77" t="s">
        <v>47</v>
      </c>
      <c r="B25" s="17" t="s">
        <v>41</v>
      </c>
      <c r="C25" s="79" t="s">
        <v>42</v>
      </c>
      <c r="D25" s="28" t="s">
        <v>38</v>
      </c>
      <c r="E25" s="19">
        <v>104</v>
      </c>
      <c r="F25" s="20">
        <f t="shared" si="1"/>
        <v>101298.72000000002</v>
      </c>
      <c r="G25" s="20">
        <f t="shared" si="2"/>
        <v>79510.97</v>
      </c>
      <c r="H25" s="20">
        <v>61068.33</v>
      </c>
      <c r="I25" s="20">
        <v>0</v>
      </c>
      <c r="J25" s="20">
        <v>0</v>
      </c>
      <c r="K25" s="20">
        <f t="shared" si="3"/>
        <v>18442.64</v>
      </c>
      <c r="L25" s="20">
        <v>0</v>
      </c>
      <c r="M25" s="20">
        <v>421.52</v>
      </c>
      <c r="N25" s="20">
        <v>0</v>
      </c>
      <c r="O25" s="20">
        <v>0</v>
      </c>
      <c r="P25" s="20">
        <v>0</v>
      </c>
      <c r="Q25" s="20">
        <f>25682.39-5780.77</f>
        <v>19901.62</v>
      </c>
      <c r="R25" s="20">
        <v>149.93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918.07999999999993</v>
      </c>
      <c r="Y25" s="27">
        <v>705.13</v>
      </c>
      <c r="Z25" s="20">
        <v>0</v>
      </c>
      <c r="AA25" s="20">
        <v>0</v>
      </c>
      <c r="AB25" s="20">
        <f t="shared" si="5"/>
        <v>212.95</v>
      </c>
      <c r="AC25" s="25">
        <v>0</v>
      </c>
      <c r="AD25" s="25">
        <v>22.35</v>
      </c>
      <c r="AE25" s="20">
        <f t="shared" si="6"/>
        <v>10535.1</v>
      </c>
      <c r="AF25" s="20">
        <v>0</v>
      </c>
      <c r="AG25" s="237"/>
      <c r="AH25" s="47">
        <f t="shared" si="7"/>
        <v>8364.6211999999996</v>
      </c>
      <c r="AI25" s="55">
        <v>8422.3775999999998</v>
      </c>
      <c r="AJ25" s="6"/>
      <c r="AK25" s="7"/>
      <c r="AM25" s="8"/>
    </row>
    <row r="26" spans="1:39" s="1" customFormat="1" ht="78.75" x14ac:dyDescent="0.25">
      <c r="A26" s="77" t="s">
        <v>48</v>
      </c>
      <c r="B26" s="17" t="s">
        <v>49</v>
      </c>
      <c r="C26" s="17" t="s">
        <v>37</v>
      </c>
      <c r="D26" s="18" t="s">
        <v>38</v>
      </c>
      <c r="E26" s="19">
        <v>103500</v>
      </c>
      <c r="F26" s="20">
        <f t="shared" si="1"/>
        <v>2375.5630000000006</v>
      </c>
      <c r="G26" s="20">
        <f t="shared" si="2"/>
        <v>1959</v>
      </c>
      <c r="H26" s="20">
        <v>1504.61</v>
      </c>
      <c r="I26" s="25">
        <v>0</v>
      </c>
      <c r="J26" s="25">
        <v>0</v>
      </c>
      <c r="K26" s="20">
        <f t="shared" si="3"/>
        <v>454.39</v>
      </c>
      <c r="L26" s="25">
        <v>0</v>
      </c>
      <c r="M26" s="25">
        <f>147.92-106.02</f>
        <v>41.899999999999991</v>
      </c>
      <c r="N26" s="25">
        <v>0</v>
      </c>
      <c r="O26" s="25">
        <v>23.36</v>
      </c>
      <c r="P26" s="26">
        <v>0</v>
      </c>
      <c r="Q26" s="25">
        <v>21.63</v>
      </c>
      <c r="R26" s="25">
        <v>31.4</v>
      </c>
      <c r="S26" s="25">
        <v>123.63</v>
      </c>
      <c r="T26" s="25">
        <v>1.05</v>
      </c>
      <c r="U26" s="20">
        <v>0</v>
      </c>
      <c r="V26" s="25">
        <v>3.33</v>
      </c>
      <c r="W26" s="25">
        <v>0.38</v>
      </c>
      <c r="X26" s="20">
        <f t="shared" si="4"/>
        <v>142.24</v>
      </c>
      <c r="Y26" s="27">
        <v>109.25</v>
      </c>
      <c r="Z26" s="25">
        <v>0</v>
      </c>
      <c r="AA26" s="25">
        <v>0</v>
      </c>
      <c r="AB26" s="20">
        <f t="shared" si="5"/>
        <v>32.99</v>
      </c>
      <c r="AC26" s="25">
        <v>0</v>
      </c>
      <c r="AD26" s="25">
        <f>97.13-45-1.127</f>
        <v>51.002999999999993</v>
      </c>
      <c r="AE26" s="20">
        <f t="shared" si="6"/>
        <v>245870.8</v>
      </c>
      <c r="AF26" s="25">
        <v>517.9</v>
      </c>
      <c r="AG26" s="237">
        <f>ROUND(AE26+AE27+AE28+AF26,1)</f>
        <v>249514</v>
      </c>
      <c r="AH26" s="47">
        <f t="shared" si="7"/>
        <v>217478.33999999997</v>
      </c>
      <c r="AI26" s="55">
        <v>218980.125</v>
      </c>
      <c r="AJ26" s="6"/>
      <c r="AK26" s="55">
        <f>ROUND(AG26/1000,1)</f>
        <v>249.5</v>
      </c>
      <c r="AM26" s="8"/>
    </row>
    <row r="27" spans="1:39" s="1" customFormat="1" ht="63" x14ac:dyDescent="0.25">
      <c r="A27" s="77" t="s">
        <v>48</v>
      </c>
      <c r="B27" s="17" t="s">
        <v>50</v>
      </c>
      <c r="C27" s="17" t="s">
        <v>40</v>
      </c>
      <c r="D27" s="18" t="s">
        <v>38</v>
      </c>
      <c r="E27" s="19">
        <v>331</v>
      </c>
      <c r="F27" s="20">
        <f t="shared" si="1"/>
        <v>4279.04</v>
      </c>
      <c r="G27" s="20">
        <f t="shared" si="2"/>
        <v>3694.31</v>
      </c>
      <c r="H27" s="20">
        <v>2837.41</v>
      </c>
      <c r="I27" s="25">
        <v>0</v>
      </c>
      <c r="J27" s="25">
        <v>0</v>
      </c>
      <c r="K27" s="20">
        <f t="shared" si="3"/>
        <v>856.9</v>
      </c>
      <c r="L27" s="25">
        <v>0</v>
      </c>
      <c r="M27" s="25">
        <f>425.02-273.72</f>
        <v>151.29999999999995</v>
      </c>
      <c r="N27" s="25">
        <v>0</v>
      </c>
      <c r="O27" s="25">
        <v>59.46</v>
      </c>
      <c r="P27" s="26">
        <v>0</v>
      </c>
      <c r="Q27" s="25">
        <v>2.99</v>
      </c>
      <c r="R27" s="25">
        <v>79.13</v>
      </c>
      <c r="S27" s="25">
        <v>22.19</v>
      </c>
      <c r="T27" s="25">
        <v>2.5299999999999998</v>
      </c>
      <c r="U27" s="20">
        <v>0</v>
      </c>
      <c r="V27" s="25">
        <v>6.97</v>
      </c>
      <c r="W27" s="25">
        <v>0.8</v>
      </c>
      <c r="X27" s="20">
        <f t="shared" si="4"/>
        <v>120.25</v>
      </c>
      <c r="Y27" s="27">
        <v>92.36</v>
      </c>
      <c r="Z27" s="25">
        <v>0</v>
      </c>
      <c r="AA27" s="25">
        <v>0</v>
      </c>
      <c r="AB27" s="20">
        <f t="shared" si="5"/>
        <v>27.89</v>
      </c>
      <c r="AC27" s="25">
        <v>0</v>
      </c>
      <c r="AD27" s="25">
        <v>198.57</v>
      </c>
      <c r="AE27" s="20">
        <f t="shared" si="6"/>
        <v>1416.4</v>
      </c>
      <c r="AF27" s="25">
        <v>0</v>
      </c>
      <c r="AG27" s="237"/>
      <c r="AH27" s="47">
        <f t="shared" si="7"/>
        <v>1262.6193599999999</v>
      </c>
      <c r="AI27" s="55">
        <v>1271.3379000000002</v>
      </c>
      <c r="AJ27" s="6"/>
      <c r="AK27" s="7"/>
      <c r="AM27" s="8"/>
    </row>
    <row r="28" spans="1:39" s="1" customFormat="1" ht="45" x14ac:dyDescent="0.25">
      <c r="A28" s="77" t="s">
        <v>48</v>
      </c>
      <c r="B28" s="17" t="s">
        <v>41</v>
      </c>
      <c r="C28" s="79" t="s">
        <v>42</v>
      </c>
      <c r="D28" s="28" t="s">
        <v>38</v>
      </c>
      <c r="E28" s="19">
        <v>19</v>
      </c>
      <c r="F28" s="20">
        <f t="shared" si="1"/>
        <v>89944.02</v>
      </c>
      <c r="G28" s="20">
        <f t="shared" si="2"/>
        <v>85403.49</v>
      </c>
      <c r="H28" s="20">
        <v>65594.080000000002</v>
      </c>
      <c r="I28" s="20">
        <v>0</v>
      </c>
      <c r="J28" s="20">
        <v>0</v>
      </c>
      <c r="K28" s="20">
        <f t="shared" si="3"/>
        <v>19809.41</v>
      </c>
      <c r="L28" s="20">
        <v>0</v>
      </c>
      <c r="M28" s="20">
        <v>426.37</v>
      </c>
      <c r="N28" s="20">
        <v>0</v>
      </c>
      <c r="O28" s="20">
        <v>426.37</v>
      </c>
      <c r="P28" s="20">
        <v>0</v>
      </c>
      <c r="Q28" s="20">
        <v>4018.73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51.58</v>
      </c>
      <c r="X28" s="20">
        <f t="shared" si="4"/>
        <v>0</v>
      </c>
      <c r="Y28" s="20">
        <v>0</v>
      </c>
      <c r="Z28" s="20">
        <v>0</v>
      </c>
      <c r="AA28" s="20">
        <v>0</v>
      </c>
      <c r="AB28" s="20">
        <f t="shared" si="5"/>
        <v>0</v>
      </c>
      <c r="AC28" s="25">
        <v>0</v>
      </c>
      <c r="AD28" s="25">
        <v>43.85</v>
      </c>
      <c r="AE28" s="20">
        <f t="shared" si="6"/>
        <v>1708.9</v>
      </c>
      <c r="AF28" s="20">
        <v>0</v>
      </c>
      <c r="AG28" s="237"/>
      <c r="AH28" s="47">
        <f t="shared" si="7"/>
        <v>1622.6663100000001</v>
      </c>
      <c r="AI28" s="55">
        <v>1633.8706100000002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98000</v>
      </c>
      <c r="F29" s="20">
        <f t="shared" si="1"/>
        <v>3247.9470000000001</v>
      </c>
      <c r="G29" s="20">
        <f t="shared" si="2"/>
        <v>2196.9299999999998</v>
      </c>
      <c r="H29" s="20">
        <v>1687.35</v>
      </c>
      <c r="I29" s="30">
        <v>0</v>
      </c>
      <c r="J29" s="30">
        <v>0</v>
      </c>
      <c r="K29" s="20">
        <f t="shared" si="3"/>
        <v>509.58</v>
      </c>
      <c r="L29" s="30">
        <v>0</v>
      </c>
      <c r="M29" s="21">
        <f>385.17-0.003-188.01</f>
        <v>197.15700000000004</v>
      </c>
      <c r="N29" s="30">
        <f>M29-O29</f>
        <v>116.52700000000004</v>
      </c>
      <c r="O29" s="30">
        <v>80.63</v>
      </c>
      <c r="P29" s="26">
        <v>0</v>
      </c>
      <c r="Q29" s="30">
        <v>99.02</v>
      </c>
      <c r="R29" s="30">
        <v>103.48</v>
      </c>
      <c r="S29" s="30">
        <v>105.13</v>
      </c>
      <c r="T29" s="30">
        <v>72.52</v>
      </c>
      <c r="U29" s="20">
        <v>0</v>
      </c>
      <c r="V29" s="30">
        <v>33.5</v>
      </c>
      <c r="W29" s="30">
        <v>0</v>
      </c>
      <c r="X29" s="20">
        <f t="shared" si="4"/>
        <v>408.61</v>
      </c>
      <c r="Y29" s="27">
        <v>313.83</v>
      </c>
      <c r="Z29" s="30">
        <v>0</v>
      </c>
      <c r="AA29" s="30">
        <v>0</v>
      </c>
      <c r="AB29" s="20">
        <f t="shared" si="5"/>
        <v>94.78</v>
      </c>
      <c r="AC29" s="25">
        <v>0</v>
      </c>
      <c r="AD29" s="25">
        <v>31.6</v>
      </c>
      <c r="AE29" s="20">
        <f t="shared" si="6"/>
        <v>318298.8</v>
      </c>
      <c r="AF29" s="31">
        <v>538.6</v>
      </c>
      <c r="AG29" s="237">
        <f>ROUND(AE29+AE30+AE31+AF29,1)</f>
        <v>320579.59999999998</v>
      </c>
      <c r="AH29" s="47">
        <f t="shared" si="7"/>
        <v>255342.92</v>
      </c>
      <c r="AI29" s="55">
        <v>257105.93999999997</v>
      </c>
      <c r="AJ29" s="6"/>
      <c r="AK29" s="55">
        <f>ROUND(AG29/1000,1)</f>
        <v>320.60000000000002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115</v>
      </c>
      <c r="F30" s="20">
        <f t="shared" si="1"/>
        <v>10132.489999999998</v>
      </c>
      <c r="G30" s="20">
        <f t="shared" si="2"/>
        <v>6223.5499999999993</v>
      </c>
      <c r="H30" s="20">
        <v>4779.99</v>
      </c>
      <c r="I30" s="30">
        <v>0</v>
      </c>
      <c r="J30" s="30">
        <v>0</v>
      </c>
      <c r="K30" s="20">
        <f t="shared" si="3"/>
        <v>1443.56</v>
      </c>
      <c r="L30" s="30">
        <v>0</v>
      </c>
      <c r="M30" s="30">
        <v>827.59</v>
      </c>
      <c r="N30" s="30">
        <v>0</v>
      </c>
      <c r="O30" s="30">
        <v>612.16999999999996</v>
      </c>
      <c r="P30" s="26">
        <v>0</v>
      </c>
      <c r="Q30" s="30">
        <v>45.59</v>
      </c>
      <c r="R30" s="30">
        <v>204.98</v>
      </c>
      <c r="S30" s="30">
        <f>434.68-181.74</f>
        <v>252.94</v>
      </c>
      <c r="T30" s="30">
        <f>418.26-100</f>
        <v>318.26</v>
      </c>
      <c r="U30" s="20">
        <v>0</v>
      </c>
      <c r="V30" s="30">
        <v>246.03</v>
      </c>
      <c r="W30" s="30">
        <v>0</v>
      </c>
      <c r="X30" s="20">
        <f t="shared" si="4"/>
        <v>1868.4899999999998</v>
      </c>
      <c r="Y30" s="27">
        <v>1435.09</v>
      </c>
      <c r="Z30" s="30">
        <v>0</v>
      </c>
      <c r="AA30" s="30">
        <v>0</v>
      </c>
      <c r="AB30" s="20">
        <f t="shared" si="5"/>
        <v>433.4</v>
      </c>
      <c r="AC30" s="25">
        <v>0</v>
      </c>
      <c r="AD30" s="25">
        <f>445.06-300</f>
        <v>145.06</v>
      </c>
      <c r="AE30" s="20">
        <f t="shared" si="6"/>
        <v>1165.2</v>
      </c>
      <c r="AF30" s="31">
        <v>0</v>
      </c>
      <c r="AG30" s="237"/>
      <c r="AH30" s="47">
        <f t="shared" si="7"/>
        <v>930.58459999999991</v>
      </c>
      <c r="AI30" s="55">
        <v>937.01080000000002</v>
      </c>
      <c r="AJ30" s="6"/>
      <c r="AK30" s="7"/>
      <c r="AM30" s="8"/>
    </row>
    <row r="31" spans="1:39" s="1" customFormat="1" ht="56.25" x14ac:dyDescent="0.25">
      <c r="A31" s="23" t="s">
        <v>51</v>
      </c>
      <c r="B31" s="17" t="s">
        <v>41</v>
      </c>
      <c r="C31" s="79" t="s">
        <v>42</v>
      </c>
      <c r="D31" s="28" t="s">
        <v>38</v>
      </c>
      <c r="E31" s="19">
        <v>2</v>
      </c>
      <c r="F31" s="20">
        <f t="shared" si="1"/>
        <v>288488.71000000002</v>
      </c>
      <c r="G31" s="20">
        <f t="shared" si="2"/>
        <v>163586.47</v>
      </c>
      <c r="H31" s="20">
        <v>125642.45</v>
      </c>
      <c r="I31" s="20">
        <v>0</v>
      </c>
      <c r="J31" s="20">
        <v>0</v>
      </c>
      <c r="K31" s="20">
        <f t="shared" si="3"/>
        <v>37944.019999999997</v>
      </c>
      <c r="L31" s="20">
        <v>0</v>
      </c>
      <c r="M31" s="20">
        <v>30589.08</v>
      </c>
      <c r="N31" s="20">
        <v>0</v>
      </c>
      <c r="O31" s="20">
        <v>8894.86</v>
      </c>
      <c r="P31" s="20">
        <v>0</v>
      </c>
      <c r="Q31" s="20">
        <v>13987.04</v>
      </c>
      <c r="R31" s="20">
        <v>16010.12</v>
      </c>
      <c r="S31" s="20">
        <v>3219.2</v>
      </c>
      <c r="T31" s="20">
        <v>6768.26</v>
      </c>
      <c r="U31" s="20">
        <v>0</v>
      </c>
      <c r="V31" s="20">
        <v>4733.3999999999996</v>
      </c>
      <c r="W31" s="20">
        <v>0</v>
      </c>
      <c r="X31" s="20">
        <f t="shared" si="4"/>
        <v>35607.300000000003</v>
      </c>
      <c r="Y31" s="20">
        <v>27348.16</v>
      </c>
      <c r="Z31" s="20">
        <v>0</v>
      </c>
      <c r="AA31" s="20">
        <v>0</v>
      </c>
      <c r="AB31" s="20">
        <f t="shared" si="5"/>
        <v>8259.14</v>
      </c>
      <c r="AC31" s="25">
        <v>0</v>
      </c>
      <c r="AD31" s="25">
        <f>28287.84-14300</f>
        <v>13987.84</v>
      </c>
      <c r="AE31" s="20">
        <f t="shared" si="6"/>
        <v>577</v>
      </c>
      <c r="AF31" s="20">
        <v>0</v>
      </c>
      <c r="AG31" s="237"/>
      <c r="AH31" s="47">
        <f t="shared" si="7"/>
        <v>398.38754000000006</v>
      </c>
      <c r="AI31" s="55">
        <v>401.13837999999998</v>
      </c>
      <c r="AJ31" s="6"/>
      <c r="AK31" s="7"/>
      <c r="AM31" s="8"/>
    </row>
    <row r="32" spans="1:39" s="1" customFormat="1" ht="78.75" x14ac:dyDescent="0.25">
      <c r="A32" s="77" t="s">
        <v>52</v>
      </c>
      <c r="B32" s="17" t="s">
        <v>36</v>
      </c>
      <c r="C32" s="17" t="s">
        <v>37</v>
      </c>
      <c r="D32" s="17" t="s">
        <v>53</v>
      </c>
      <c r="E32" s="19">
        <v>500</v>
      </c>
      <c r="F32" s="20">
        <f t="shared" si="1"/>
        <v>5848.06</v>
      </c>
      <c r="G32" s="20">
        <f t="shared" si="2"/>
        <v>2675.3599999999997</v>
      </c>
      <c r="H32" s="20">
        <v>2054.81</v>
      </c>
      <c r="I32" s="20">
        <v>0</v>
      </c>
      <c r="J32" s="20">
        <v>0</v>
      </c>
      <c r="K32" s="20">
        <f t="shared" si="3"/>
        <v>620.54999999999995</v>
      </c>
      <c r="L32" s="20">
        <v>0</v>
      </c>
      <c r="M32" s="20">
        <v>408.63</v>
      </c>
      <c r="N32" s="20">
        <v>0</v>
      </c>
      <c r="O32" s="20">
        <v>0</v>
      </c>
      <c r="P32" s="32">
        <v>0</v>
      </c>
      <c r="Q32" s="20">
        <f>1461.1-280</f>
        <v>1181.0999999999999</v>
      </c>
      <c r="R32" s="20">
        <v>28.43</v>
      </c>
      <c r="S32" s="20">
        <v>0</v>
      </c>
      <c r="T32" s="20">
        <v>0</v>
      </c>
      <c r="U32" s="20">
        <v>0</v>
      </c>
      <c r="V32" s="20">
        <v>41.33</v>
      </c>
      <c r="W32" s="20">
        <v>37.01</v>
      </c>
      <c r="X32" s="20">
        <f t="shared" si="4"/>
        <v>1215.48</v>
      </c>
      <c r="Y32" s="27">
        <v>933.55</v>
      </c>
      <c r="Z32" s="20">
        <v>0</v>
      </c>
      <c r="AA32" s="20">
        <v>0</v>
      </c>
      <c r="AB32" s="20">
        <f t="shared" si="5"/>
        <v>281.93</v>
      </c>
      <c r="AC32" s="20">
        <v>0</v>
      </c>
      <c r="AD32" s="20">
        <v>260.72000000000003</v>
      </c>
      <c r="AE32" s="20">
        <f t="shared" si="6"/>
        <v>2924</v>
      </c>
      <c r="AF32" s="25">
        <v>295.8</v>
      </c>
      <c r="AG32" s="237">
        <f>ROUND(AE32+AE33+AF32,1)</f>
        <v>19283.2</v>
      </c>
      <c r="AH32" s="47">
        <f t="shared" si="7"/>
        <v>1945.4199999999998</v>
      </c>
      <c r="AI32" s="55">
        <v>1958.8600000000001</v>
      </c>
      <c r="AJ32" s="6"/>
      <c r="AK32" s="55">
        <f>ROUND(AG32/1000,1)</f>
        <v>19.3</v>
      </c>
      <c r="AM32" s="8"/>
    </row>
    <row r="33" spans="1:39" s="1" customFormat="1" ht="63" x14ac:dyDescent="0.25">
      <c r="A33" s="77" t="s">
        <v>52</v>
      </c>
      <c r="B33" s="17" t="s">
        <v>39</v>
      </c>
      <c r="C33" s="17" t="s">
        <v>40</v>
      </c>
      <c r="D33" s="17" t="s">
        <v>53</v>
      </c>
      <c r="E33" s="19">
        <v>131</v>
      </c>
      <c r="F33" s="20">
        <f t="shared" si="1"/>
        <v>122621.65000000001</v>
      </c>
      <c r="G33" s="20">
        <f t="shared" si="2"/>
        <v>38355.08</v>
      </c>
      <c r="H33" s="20">
        <v>29458.59</v>
      </c>
      <c r="I33" s="20">
        <v>0</v>
      </c>
      <c r="J33" s="20">
        <v>0</v>
      </c>
      <c r="K33" s="20">
        <f t="shared" si="3"/>
        <v>8896.49</v>
      </c>
      <c r="L33" s="20">
        <v>0</v>
      </c>
      <c r="M33" s="20">
        <v>106.94</v>
      </c>
      <c r="N33" s="20">
        <v>0</v>
      </c>
      <c r="O33" s="20">
        <v>0</v>
      </c>
      <c r="P33" s="32">
        <v>0</v>
      </c>
      <c r="Q33" s="20">
        <v>3238.21</v>
      </c>
      <c r="R33" s="20">
        <v>1549.69</v>
      </c>
      <c r="S33" s="20">
        <f>41198.83-3448.85</f>
        <v>37749.980000000003</v>
      </c>
      <c r="T33" s="20">
        <v>28300.880000000001</v>
      </c>
      <c r="U33" s="20">
        <v>0</v>
      </c>
      <c r="V33" s="20">
        <v>3407.95</v>
      </c>
      <c r="W33" s="20">
        <v>288.58999999999997</v>
      </c>
      <c r="X33" s="20">
        <f t="shared" si="4"/>
        <v>9624.33</v>
      </c>
      <c r="Y33" s="27">
        <v>7391.96</v>
      </c>
      <c r="Z33" s="20">
        <v>0</v>
      </c>
      <c r="AA33" s="20">
        <v>0</v>
      </c>
      <c r="AB33" s="20">
        <f t="shared" si="5"/>
        <v>2232.37</v>
      </c>
      <c r="AC33" s="20">
        <v>0</v>
      </c>
      <c r="AD33" s="20">
        <v>0</v>
      </c>
      <c r="AE33" s="20">
        <f t="shared" si="6"/>
        <v>16063.4</v>
      </c>
      <c r="AF33" s="25">
        <v>0</v>
      </c>
      <c r="AG33" s="237"/>
      <c r="AH33" s="47">
        <f t="shared" si="7"/>
        <v>6285.3027100000008</v>
      </c>
      <c r="AI33" s="55">
        <v>6328.7030100000002</v>
      </c>
      <c r="AJ33" s="6"/>
      <c r="AK33" s="7"/>
      <c r="AM33" s="8"/>
    </row>
    <row r="34" spans="1:39" s="1" customFormat="1" ht="78.75" x14ac:dyDescent="0.25">
      <c r="A34" s="77" t="s">
        <v>54</v>
      </c>
      <c r="B34" s="17" t="s">
        <v>49</v>
      </c>
      <c r="C34" s="17" t="s">
        <v>37</v>
      </c>
      <c r="D34" s="17" t="s">
        <v>45</v>
      </c>
      <c r="E34" s="19">
        <v>5286</v>
      </c>
      <c r="F34" s="20">
        <f t="shared" si="1"/>
        <v>1948.4599999999996</v>
      </c>
      <c r="G34" s="20">
        <f t="shared" si="2"/>
        <v>738.34</v>
      </c>
      <c r="H34" s="20">
        <v>567.08000000000004</v>
      </c>
      <c r="I34" s="25">
        <v>0</v>
      </c>
      <c r="J34" s="25">
        <v>0</v>
      </c>
      <c r="K34" s="20">
        <f t="shared" si="3"/>
        <v>171.26</v>
      </c>
      <c r="L34" s="25">
        <v>0</v>
      </c>
      <c r="M34" s="25">
        <v>95.43</v>
      </c>
      <c r="N34" s="25">
        <v>0</v>
      </c>
      <c r="O34" s="25">
        <v>0</v>
      </c>
      <c r="P34" s="26">
        <v>0</v>
      </c>
      <c r="Q34" s="25">
        <v>88.37</v>
      </c>
      <c r="R34" s="25">
        <v>48.11</v>
      </c>
      <c r="S34" s="25">
        <v>82.33</v>
      </c>
      <c r="T34" s="25">
        <v>367.08</v>
      </c>
      <c r="U34" s="20">
        <v>0</v>
      </c>
      <c r="V34" s="27">
        <v>14.58</v>
      </c>
      <c r="W34" s="27">
        <v>3.81</v>
      </c>
      <c r="X34" s="20">
        <f t="shared" si="4"/>
        <v>478.42999999999995</v>
      </c>
      <c r="Y34" s="27">
        <v>367.46</v>
      </c>
      <c r="Z34" s="27">
        <v>0</v>
      </c>
      <c r="AA34" s="27">
        <v>0</v>
      </c>
      <c r="AB34" s="20">
        <f t="shared" si="5"/>
        <v>110.97</v>
      </c>
      <c r="AC34" s="25">
        <v>0</v>
      </c>
      <c r="AD34" s="25">
        <f>119.76-87.78</f>
        <v>31.980000000000004</v>
      </c>
      <c r="AE34" s="20">
        <f t="shared" si="6"/>
        <v>10299.6</v>
      </c>
      <c r="AF34" s="25">
        <v>276.2</v>
      </c>
      <c r="AG34" s="237">
        <f>ROUND(AE34+AE35+AF34,1)</f>
        <v>11127</v>
      </c>
      <c r="AH34" s="47">
        <f t="shared" si="7"/>
        <v>6431.8462199999994</v>
      </c>
      <c r="AI34" s="55">
        <v>6476.3014800000001</v>
      </c>
      <c r="AJ34" s="6"/>
      <c r="AK34" s="55">
        <f>ROUND(AG34/1000,1)</f>
        <v>11.1</v>
      </c>
      <c r="AM34" s="8"/>
    </row>
    <row r="35" spans="1:39" s="1" customFormat="1" ht="63" x14ac:dyDescent="0.25">
      <c r="A35" s="77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55124.099999999991</v>
      </c>
      <c r="G35" s="20">
        <f t="shared" si="2"/>
        <v>25822.629999999997</v>
      </c>
      <c r="H35" s="20">
        <v>19833.05</v>
      </c>
      <c r="I35" s="25">
        <v>0</v>
      </c>
      <c r="J35" s="25">
        <v>0</v>
      </c>
      <c r="K35" s="20">
        <f t="shared" si="3"/>
        <v>5989.58</v>
      </c>
      <c r="L35" s="25">
        <v>0</v>
      </c>
      <c r="M35" s="25">
        <v>788.74</v>
      </c>
      <c r="N35" s="25">
        <v>0</v>
      </c>
      <c r="O35" s="25">
        <v>736.1</v>
      </c>
      <c r="P35" s="26">
        <v>0</v>
      </c>
      <c r="Q35" s="25">
        <v>1602.69</v>
      </c>
      <c r="R35" s="25">
        <v>1907.18</v>
      </c>
      <c r="S35" s="25">
        <v>3049</v>
      </c>
      <c r="T35" s="25">
        <f>8641.02-1300</f>
        <v>7341.02</v>
      </c>
      <c r="U35" s="20">
        <v>0</v>
      </c>
      <c r="V35" s="27">
        <v>1748.74</v>
      </c>
      <c r="W35" s="27">
        <v>1116.1500000000001</v>
      </c>
      <c r="X35" s="20">
        <f t="shared" si="4"/>
        <v>10431.210000000001</v>
      </c>
      <c r="Y35" s="27">
        <v>8011.68</v>
      </c>
      <c r="Z35" s="27">
        <v>0</v>
      </c>
      <c r="AA35" s="27">
        <v>0</v>
      </c>
      <c r="AB35" s="20">
        <f t="shared" si="5"/>
        <v>2419.5300000000002</v>
      </c>
      <c r="AC35" s="25">
        <v>0</v>
      </c>
      <c r="AD35" s="25">
        <f>2616.74-1300</f>
        <v>1316.7399999999998</v>
      </c>
      <c r="AE35" s="20">
        <f t="shared" si="6"/>
        <v>551.20000000000005</v>
      </c>
      <c r="AF35" s="27">
        <v>0</v>
      </c>
      <c r="AG35" s="237"/>
      <c r="AH35" s="47">
        <f t="shared" si="7"/>
        <v>362.53839999999997</v>
      </c>
      <c r="AI35" s="55">
        <v>365.04169999999993</v>
      </c>
      <c r="AJ35" s="6"/>
      <c r="AK35" s="7"/>
      <c r="AM35" s="8"/>
    </row>
    <row r="36" spans="1:39" s="1" customFormat="1" ht="78.75" x14ac:dyDescent="0.25">
      <c r="A36" s="77" t="s">
        <v>55</v>
      </c>
      <c r="B36" s="17" t="s">
        <v>56</v>
      </c>
      <c r="C36" s="17" t="s">
        <v>37</v>
      </c>
      <c r="D36" s="18" t="s">
        <v>53</v>
      </c>
      <c r="E36" s="19">
        <v>7900</v>
      </c>
      <c r="F36" s="20">
        <f t="shared" si="1"/>
        <v>2421.91</v>
      </c>
      <c r="G36" s="20">
        <f t="shared" si="2"/>
        <v>987.91</v>
      </c>
      <c r="H36" s="20">
        <v>758.76</v>
      </c>
      <c r="I36" s="25">
        <v>0</v>
      </c>
      <c r="J36" s="25">
        <v>0</v>
      </c>
      <c r="K36" s="20">
        <f t="shared" si="3"/>
        <v>229.15</v>
      </c>
      <c r="L36" s="25">
        <v>0</v>
      </c>
      <c r="M36" s="25">
        <f>541.57-115.54-15.85</f>
        <v>410.18</v>
      </c>
      <c r="N36" s="25">
        <v>0</v>
      </c>
      <c r="O36" s="25">
        <v>48.07</v>
      </c>
      <c r="P36" s="26">
        <v>0</v>
      </c>
      <c r="Q36" s="25">
        <v>89.35</v>
      </c>
      <c r="R36" s="25">
        <v>158.56</v>
      </c>
      <c r="S36" s="25">
        <v>45.74</v>
      </c>
      <c r="T36" s="25">
        <v>48.63</v>
      </c>
      <c r="U36" s="20">
        <v>0</v>
      </c>
      <c r="V36" s="25">
        <v>8.6999999999999993</v>
      </c>
      <c r="W36" s="25">
        <v>0</v>
      </c>
      <c r="X36" s="20">
        <f t="shared" si="4"/>
        <v>623.32000000000005</v>
      </c>
      <c r="Y36" s="27">
        <v>478.69</v>
      </c>
      <c r="Z36" s="25">
        <v>0</v>
      </c>
      <c r="AA36" s="25">
        <v>0</v>
      </c>
      <c r="AB36" s="20">
        <f t="shared" si="5"/>
        <v>144.56</v>
      </c>
      <c r="AC36" s="25">
        <v>7.0000000000000007E-2</v>
      </c>
      <c r="AD36" s="25">
        <v>49.52</v>
      </c>
      <c r="AE36" s="20">
        <f t="shared" si="6"/>
        <v>19133.099999999999</v>
      </c>
      <c r="AF36" s="25">
        <v>97.4</v>
      </c>
      <c r="AG36" s="237">
        <f>ROUND(AE36+AE37+AF36,1)</f>
        <v>21183.4</v>
      </c>
      <c r="AH36" s="47">
        <f t="shared" si="7"/>
        <v>12728.717000000001</v>
      </c>
      <c r="AI36" s="55">
        <v>12816.644000000002</v>
      </c>
      <c r="AJ36" s="6"/>
      <c r="AK36" s="55">
        <f>ROUND(AG36/1000,1)</f>
        <v>21.2</v>
      </c>
      <c r="AM36" s="8"/>
    </row>
    <row r="37" spans="1:39" s="1" customFormat="1" ht="63" x14ac:dyDescent="0.25">
      <c r="A37" s="77" t="s">
        <v>55</v>
      </c>
      <c r="B37" s="33" t="s">
        <v>57</v>
      </c>
      <c r="C37" s="17" t="s">
        <v>40</v>
      </c>
      <c r="D37" s="18" t="s">
        <v>45</v>
      </c>
      <c r="E37" s="19">
        <v>104</v>
      </c>
      <c r="F37" s="20">
        <f t="shared" si="1"/>
        <v>18778.250000000004</v>
      </c>
      <c r="G37" s="20">
        <f t="shared" si="2"/>
        <v>6885.5999999999995</v>
      </c>
      <c r="H37" s="20">
        <v>5288.48</v>
      </c>
      <c r="I37" s="25">
        <v>0</v>
      </c>
      <c r="J37" s="25">
        <v>0</v>
      </c>
      <c r="K37" s="20">
        <f t="shared" si="3"/>
        <v>1597.12</v>
      </c>
      <c r="L37" s="25">
        <v>0</v>
      </c>
      <c r="M37" s="25">
        <v>517.63</v>
      </c>
      <c r="N37" s="25">
        <v>0</v>
      </c>
      <c r="O37" s="25">
        <v>284.99</v>
      </c>
      <c r="P37" s="26">
        <v>0</v>
      </c>
      <c r="Q37" s="25">
        <v>21.89</v>
      </c>
      <c r="R37" s="25">
        <v>190.6</v>
      </c>
      <c r="S37" s="25">
        <v>765.94</v>
      </c>
      <c r="T37" s="25">
        <v>122.18</v>
      </c>
      <c r="U37" s="20">
        <v>0</v>
      </c>
      <c r="V37" s="25">
        <v>51.53</v>
      </c>
      <c r="W37" s="25">
        <v>0</v>
      </c>
      <c r="X37" s="20">
        <f t="shared" si="4"/>
        <v>9860.39</v>
      </c>
      <c r="Y37" s="27">
        <v>7572.71</v>
      </c>
      <c r="Z37" s="25">
        <v>0</v>
      </c>
      <c r="AA37" s="25">
        <v>0</v>
      </c>
      <c r="AB37" s="20">
        <f t="shared" si="5"/>
        <v>2286.96</v>
      </c>
      <c r="AC37" s="25">
        <v>0.72</v>
      </c>
      <c r="AD37" s="25">
        <f>363.45-0.96</f>
        <v>362.49</v>
      </c>
      <c r="AE37" s="20">
        <f t="shared" si="6"/>
        <v>1952.9</v>
      </c>
      <c r="AF37" s="25"/>
      <c r="AG37" s="237"/>
      <c r="AH37" s="47">
        <f t="shared" si="7"/>
        <v>1741.5829599999997</v>
      </c>
      <c r="AI37" s="55">
        <v>1753.6084799999999</v>
      </c>
      <c r="AJ37" s="6"/>
      <c r="AK37" s="7"/>
      <c r="AM37" s="8"/>
    </row>
    <row r="38" spans="1:39" s="1" customFormat="1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62</v>
      </c>
      <c r="F38" s="20">
        <f t="shared" si="1"/>
        <v>94600.780000000013</v>
      </c>
      <c r="G38" s="20">
        <f t="shared" si="2"/>
        <v>48854.83</v>
      </c>
      <c r="H38" s="20">
        <v>37522.910000000003</v>
      </c>
      <c r="I38" s="25">
        <v>0</v>
      </c>
      <c r="J38" s="25">
        <v>0</v>
      </c>
      <c r="K38" s="20">
        <f t="shared" si="3"/>
        <v>11331.92</v>
      </c>
      <c r="L38" s="25">
        <v>0</v>
      </c>
      <c r="M38" s="25">
        <v>6090.53</v>
      </c>
      <c r="N38" s="25">
        <v>3484.29</v>
      </c>
      <c r="O38" s="25">
        <v>1132.4000000000001</v>
      </c>
      <c r="P38" s="25">
        <v>0</v>
      </c>
      <c r="Q38" s="25">
        <v>2735.16</v>
      </c>
      <c r="R38" s="25">
        <f>10368.03-5196.77</f>
        <v>5171.26</v>
      </c>
      <c r="S38" s="25">
        <v>1541.8</v>
      </c>
      <c r="T38" s="25">
        <v>1149.82</v>
      </c>
      <c r="U38" s="20">
        <v>0</v>
      </c>
      <c r="V38" s="25">
        <v>3975.57</v>
      </c>
      <c r="W38" s="25">
        <v>0</v>
      </c>
      <c r="X38" s="20">
        <f t="shared" si="4"/>
        <v>23456.309999999998</v>
      </c>
      <c r="Y38" s="27">
        <v>18015.599999999999</v>
      </c>
      <c r="Z38" s="25">
        <v>0</v>
      </c>
      <c r="AA38" s="25">
        <v>0</v>
      </c>
      <c r="AB38" s="20">
        <f t="shared" si="5"/>
        <v>5440.71</v>
      </c>
      <c r="AC38" s="25">
        <v>0</v>
      </c>
      <c r="AD38" s="25">
        <v>1625.5</v>
      </c>
      <c r="AE38" s="20">
        <f t="shared" si="6"/>
        <v>5865.2</v>
      </c>
      <c r="AF38" s="20">
        <v>164.4</v>
      </c>
      <c r="AG38" s="75">
        <f>ROUND(AE38+AF38,1)</f>
        <v>6029.6</v>
      </c>
      <c r="AH38" s="47">
        <f t="shared" si="7"/>
        <v>4483.2906800000001</v>
      </c>
      <c r="AI38" s="55">
        <v>4514.2472800000005</v>
      </c>
      <c r="AJ38" s="6"/>
      <c r="AK38" s="55">
        <f>ROUND(AG38/1000,1)</f>
        <v>6</v>
      </c>
      <c r="AM38" s="8"/>
    </row>
    <row r="39" spans="1:39" s="1" customFormat="1" ht="63" x14ac:dyDescent="0.25">
      <c r="A39" s="77" t="s">
        <v>59</v>
      </c>
      <c r="B39" s="17" t="s">
        <v>39</v>
      </c>
      <c r="C39" s="17" t="s">
        <v>40</v>
      </c>
      <c r="D39" s="17" t="s">
        <v>45</v>
      </c>
      <c r="E39" s="19">
        <v>60</v>
      </c>
      <c r="F39" s="20">
        <f t="shared" si="1"/>
        <v>75729.14</v>
      </c>
      <c r="G39" s="20">
        <f t="shared" si="2"/>
        <v>17262.370000000003</v>
      </c>
      <c r="H39" s="20">
        <v>12511.61</v>
      </c>
      <c r="I39" s="25">
        <v>0</v>
      </c>
      <c r="J39" s="25">
        <v>0</v>
      </c>
      <c r="K39" s="20">
        <f t="shared" si="3"/>
        <v>3778.51</v>
      </c>
      <c r="L39" s="25">
        <v>972.25</v>
      </c>
      <c r="M39" s="25">
        <v>1785.11</v>
      </c>
      <c r="N39" s="25">
        <v>0</v>
      </c>
      <c r="O39" s="25">
        <v>90.33</v>
      </c>
      <c r="P39" s="26">
        <v>0</v>
      </c>
      <c r="Q39" s="25">
        <v>0</v>
      </c>
      <c r="R39" s="25">
        <v>6365.81</v>
      </c>
      <c r="S39" s="25">
        <f>31606.49-1605</f>
        <v>30001.49</v>
      </c>
      <c r="T39" s="25">
        <v>8562.7099999999991</v>
      </c>
      <c r="U39" s="20">
        <v>0</v>
      </c>
      <c r="V39" s="25">
        <v>539.9</v>
      </c>
      <c r="W39" s="25">
        <v>0</v>
      </c>
      <c r="X39" s="20">
        <f t="shared" si="4"/>
        <v>6142.9400000000005</v>
      </c>
      <c r="Y39" s="27">
        <v>4655.8500000000004</v>
      </c>
      <c r="Z39" s="25">
        <v>0</v>
      </c>
      <c r="AA39" s="25">
        <v>0</v>
      </c>
      <c r="AB39" s="20">
        <f t="shared" si="5"/>
        <v>1406.07</v>
      </c>
      <c r="AC39" s="25">
        <v>81.02</v>
      </c>
      <c r="AD39" s="25">
        <v>5068.8100000000004</v>
      </c>
      <c r="AE39" s="20">
        <f t="shared" si="6"/>
        <v>4543.7</v>
      </c>
      <c r="AF39" s="25">
        <v>165.4</v>
      </c>
      <c r="AG39" s="76">
        <f>ROUND(AE39+AF39,1)</f>
        <v>4709.1000000000004</v>
      </c>
      <c r="AH39" s="47">
        <f t="shared" si="7"/>
        <v>1404.3186000000003</v>
      </c>
      <c r="AI39" s="55">
        <v>1414.0152</v>
      </c>
      <c r="AJ39" s="6"/>
      <c r="AK39" s="55">
        <f>ROUND(AG39/1000,1)</f>
        <v>4.7</v>
      </c>
      <c r="AM39" s="8"/>
    </row>
    <row r="40" spans="1:39" s="1" customFormat="1" ht="60" customHeight="1" x14ac:dyDescent="0.25">
      <c r="A40" s="251" t="s">
        <v>60</v>
      </c>
      <c r="B40" s="78" t="s">
        <v>61</v>
      </c>
      <c r="C40" s="78" t="s">
        <v>62</v>
      </c>
      <c r="D40" s="78" t="s">
        <v>45</v>
      </c>
      <c r="E40" s="19">
        <v>506</v>
      </c>
      <c r="F40" s="20">
        <f>SUM(G40,M40,Q40,R40,S40,T40,V40,W40,X40,AD40,P40,U40)</f>
        <v>16561.63</v>
      </c>
      <c r="G40" s="20">
        <f>SUM(H40:L40)</f>
        <v>7034.2999999999993</v>
      </c>
      <c r="H40" s="20">
        <v>5402.69</v>
      </c>
      <c r="I40" s="20">
        <v>0</v>
      </c>
      <c r="J40" s="20">
        <v>0</v>
      </c>
      <c r="K40" s="20">
        <f>ROUND(H40*0.302,2)</f>
        <v>1631.61</v>
      </c>
      <c r="L40" s="20">
        <v>0</v>
      </c>
      <c r="M40" s="20">
        <v>821.42</v>
      </c>
      <c r="N40" s="20">
        <v>0</v>
      </c>
      <c r="O40" s="20">
        <v>0</v>
      </c>
      <c r="P40" s="20">
        <v>0</v>
      </c>
      <c r="Q40" s="20">
        <v>256.14999999999998</v>
      </c>
      <c r="R40" s="20">
        <v>1004.57</v>
      </c>
      <c r="S40" s="20">
        <f>1153.45-300</f>
        <v>853.45</v>
      </c>
      <c r="T40" s="20">
        <v>109.94</v>
      </c>
      <c r="U40" s="20">
        <v>0</v>
      </c>
      <c r="V40" s="20">
        <v>493.09</v>
      </c>
      <c r="W40" s="20">
        <v>2.42</v>
      </c>
      <c r="X40" s="20">
        <f>SUM(Y40:AC40)</f>
        <v>5702.4500000000007</v>
      </c>
      <c r="Y40" s="27">
        <v>4379.76</v>
      </c>
      <c r="Z40" s="20">
        <v>0</v>
      </c>
      <c r="AA40" s="20">
        <v>0</v>
      </c>
      <c r="AB40" s="20">
        <f>ROUND(Y40*0.302,2)</f>
        <v>1322.69</v>
      </c>
      <c r="AC40" s="25">
        <v>0</v>
      </c>
      <c r="AD40" s="25">
        <f>898.66-614.82</f>
        <v>283.83999999999992</v>
      </c>
      <c r="AE40" s="20">
        <f t="shared" si="6"/>
        <v>8380.2000000000007</v>
      </c>
      <c r="AF40" s="91">
        <v>4.0999999999999996</v>
      </c>
      <c r="AG40" s="256">
        <f>SUM(AE40:AF43)</f>
        <v>30909.4</v>
      </c>
      <c r="AH40" s="55">
        <f>(G40+X40)*E40/1000</f>
        <v>6444.7955000000002</v>
      </c>
      <c r="AI40" s="55">
        <v>6489.2982000000002</v>
      </c>
      <c r="AJ40" s="6">
        <f>AE40+AF40</f>
        <v>8384.3000000000011</v>
      </c>
      <c r="AK40" s="55">
        <f>ROUND(AJ40/1000,1)</f>
        <v>8.4</v>
      </c>
      <c r="AM40" s="8"/>
    </row>
    <row r="41" spans="1:39" s="1" customFormat="1" ht="124.5" customHeight="1" x14ac:dyDescent="0.25">
      <c r="A41" s="252"/>
      <c r="B41" s="86" t="s">
        <v>82</v>
      </c>
      <c r="C41" s="39" t="s">
        <v>64</v>
      </c>
      <c r="D41" s="38" t="s">
        <v>65</v>
      </c>
      <c r="E41" s="40">
        <v>6880</v>
      </c>
      <c r="F41" s="41">
        <f>SUM(G41,M41,Q41,R41,S41,T41,V41,W41,X41,AD41,P41,U41)</f>
        <v>2274.5300000000002</v>
      </c>
      <c r="G41" s="41">
        <f>SUM(H41:L41)</f>
        <v>1193.5</v>
      </c>
      <c r="H41" s="41">
        <v>916.67</v>
      </c>
      <c r="I41" s="42">
        <v>0</v>
      </c>
      <c r="J41" s="41">
        <v>0</v>
      </c>
      <c r="K41" s="41">
        <f>ROUND(H41*0.302,2)</f>
        <v>276.83</v>
      </c>
      <c r="L41" s="41">
        <v>0</v>
      </c>
      <c r="M41" s="42">
        <v>24.78</v>
      </c>
      <c r="N41" s="42">
        <v>0</v>
      </c>
      <c r="O41" s="42">
        <v>8.77</v>
      </c>
      <c r="P41" s="42">
        <v>0</v>
      </c>
      <c r="Q41" s="42">
        <v>0</v>
      </c>
      <c r="R41" s="41">
        <v>11.49</v>
      </c>
      <c r="S41" s="42">
        <v>26.68</v>
      </c>
      <c r="T41" s="41">
        <v>46.96</v>
      </c>
      <c r="U41" s="41">
        <v>0</v>
      </c>
      <c r="V41" s="42">
        <v>33.92</v>
      </c>
      <c r="W41" s="41">
        <v>27.56</v>
      </c>
      <c r="X41" s="41">
        <f>SUM(Y41:AC41)</f>
        <v>566.37</v>
      </c>
      <c r="Y41" s="43">
        <v>435</v>
      </c>
      <c r="Z41" s="42">
        <v>0</v>
      </c>
      <c r="AA41" s="41">
        <v>0</v>
      </c>
      <c r="AB41" s="41">
        <f>ROUND(Y41*0.302,2)</f>
        <v>131.37</v>
      </c>
      <c r="AC41" s="42">
        <v>0</v>
      </c>
      <c r="AD41" s="42">
        <f>470.6-127.33</f>
        <v>343.27000000000004</v>
      </c>
      <c r="AE41" s="51">
        <f t="shared" si="6"/>
        <v>15648.8</v>
      </c>
      <c r="AF41" s="92">
        <v>52.7</v>
      </c>
      <c r="AG41" s="256"/>
      <c r="AH41" s="55">
        <f>(G41+X41)*E41/1000</f>
        <v>12107.9056</v>
      </c>
      <c r="AI41" s="55">
        <v>17507.6564</v>
      </c>
      <c r="AJ41" s="6">
        <f>AE41+AF41</f>
        <v>15701.5</v>
      </c>
      <c r="AK41" s="55">
        <f>ROUND(AJ41/1000,1)</f>
        <v>15.7</v>
      </c>
      <c r="AM41" s="8"/>
    </row>
    <row r="42" spans="1:39" s="1" customFormat="1" ht="183.75" customHeight="1" x14ac:dyDescent="0.25">
      <c r="A42" s="252"/>
      <c r="B42" s="88" t="s">
        <v>83</v>
      </c>
      <c r="C42" s="39" t="s">
        <v>64</v>
      </c>
      <c r="D42" s="38" t="s">
        <v>65</v>
      </c>
      <c r="E42" s="89">
        <v>1000</v>
      </c>
      <c r="F42" s="41">
        <f>SUM(G42,M42,Q42,R42,S42,T42,V42,W42,X42,AD42,P42,U42)</f>
        <v>2274.5300000000002</v>
      </c>
      <c r="G42" s="41">
        <f>SUM(H42:L42)</f>
        <v>1193.5</v>
      </c>
      <c r="H42" s="41">
        <v>916.67</v>
      </c>
      <c r="I42" s="42">
        <v>0</v>
      </c>
      <c r="J42" s="41">
        <v>0</v>
      </c>
      <c r="K42" s="41">
        <f>ROUND(H42*0.302,2)</f>
        <v>276.83</v>
      </c>
      <c r="L42" s="41">
        <v>0</v>
      </c>
      <c r="M42" s="42">
        <v>24.78</v>
      </c>
      <c r="N42" s="42">
        <v>0</v>
      </c>
      <c r="O42" s="42">
        <v>8.77</v>
      </c>
      <c r="P42" s="42">
        <v>0</v>
      </c>
      <c r="Q42" s="42">
        <v>0</v>
      </c>
      <c r="R42" s="41">
        <v>11.49</v>
      </c>
      <c r="S42" s="42">
        <v>26.68</v>
      </c>
      <c r="T42" s="41">
        <v>46.96</v>
      </c>
      <c r="U42" s="41">
        <v>0</v>
      </c>
      <c r="V42" s="42">
        <v>33.92</v>
      </c>
      <c r="W42" s="41">
        <v>27.56</v>
      </c>
      <c r="X42" s="41">
        <f>SUM(Y42:AC42)</f>
        <v>566.37</v>
      </c>
      <c r="Y42" s="43">
        <v>435</v>
      </c>
      <c r="Z42" s="42">
        <v>0</v>
      </c>
      <c r="AA42" s="41">
        <v>0</v>
      </c>
      <c r="AB42" s="41">
        <f>ROUND(Y42*0.302,2)</f>
        <v>131.37</v>
      </c>
      <c r="AC42" s="42">
        <v>0</v>
      </c>
      <c r="AD42" s="93">
        <f>470.6-127.33</f>
        <v>343.27000000000004</v>
      </c>
      <c r="AE42" s="94">
        <f t="shared" si="6"/>
        <v>2274.5</v>
      </c>
      <c r="AF42" s="95">
        <v>0</v>
      </c>
      <c r="AG42" s="256"/>
      <c r="AH42" s="55">
        <f t="shared" ref="AH42:AH43" si="8">(G42+X42)*E42/1000</f>
        <v>1759.87</v>
      </c>
      <c r="AI42" s="55"/>
      <c r="AJ42" s="6"/>
      <c r="AK42" s="55"/>
      <c r="AM42" s="8"/>
    </row>
    <row r="43" spans="1:39" s="1" customFormat="1" ht="98.25" customHeight="1" x14ac:dyDescent="0.25">
      <c r="A43" s="253"/>
      <c r="B43" s="88" t="s">
        <v>84</v>
      </c>
      <c r="C43" s="39" t="s">
        <v>64</v>
      </c>
      <c r="D43" s="38" t="s">
        <v>65</v>
      </c>
      <c r="E43" s="89">
        <v>2000</v>
      </c>
      <c r="F43" s="41">
        <f>SUM(G43,M43,Q43,R43,S43,T43,V43,W43,X43,AD43,P43,U43)</f>
        <v>2274.5300000000002</v>
      </c>
      <c r="G43" s="41">
        <f>SUM(H43:L43)</f>
        <v>1193.5</v>
      </c>
      <c r="H43" s="41">
        <v>916.67</v>
      </c>
      <c r="I43" s="42">
        <v>0</v>
      </c>
      <c r="J43" s="41">
        <v>0</v>
      </c>
      <c r="K43" s="41">
        <f>ROUND(H43*0.302,2)</f>
        <v>276.83</v>
      </c>
      <c r="L43" s="41">
        <v>0</v>
      </c>
      <c r="M43" s="42">
        <v>24.78</v>
      </c>
      <c r="N43" s="42">
        <v>0</v>
      </c>
      <c r="O43" s="42">
        <v>8.77</v>
      </c>
      <c r="P43" s="42">
        <v>0</v>
      </c>
      <c r="Q43" s="42">
        <v>0</v>
      </c>
      <c r="R43" s="41">
        <v>11.49</v>
      </c>
      <c r="S43" s="42">
        <v>26.68</v>
      </c>
      <c r="T43" s="41">
        <v>46.96</v>
      </c>
      <c r="U43" s="41">
        <v>0</v>
      </c>
      <c r="V43" s="42">
        <v>33.92</v>
      </c>
      <c r="W43" s="41">
        <v>27.56</v>
      </c>
      <c r="X43" s="41">
        <f>SUM(Y43:AC43)</f>
        <v>566.37</v>
      </c>
      <c r="Y43" s="43">
        <v>435</v>
      </c>
      <c r="Z43" s="42">
        <v>0</v>
      </c>
      <c r="AA43" s="41">
        <v>0</v>
      </c>
      <c r="AB43" s="41">
        <f>ROUND(Y43*0.302,2)</f>
        <v>131.37</v>
      </c>
      <c r="AC43" s="42">
        <v>0</v>
      </c>
      <c r="AD43" s="93">
        <f>470.6-127.33</f>
        <v>343.27000000000004</v>
      </c>
      <c r="AE43" s="94">
        <f t="shared" si="6"/>
        <v>4549.1000000000004</v>
      </c>
      <c r="AF43" s="95">
        <v>0</v>
      </c>
      <c r="AG43" s="256"/>
      <c r="AH43" s="55">
        <f t="shared" si="8"/>
        <v>3519.74</v>
      </c>
      <c r="AI43" s="55"/>
      <c r="AJ43" s="6"/>
      <c r="AK43" s="55"/>
      <c r="AM43" s="8"/>
    </row>
    <row r="44" spans="1:39" s="1" customFormat="1" ht="15.75" x14ac:dyDescent="0.25">
      <c r="A44" s="81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/>
      <c r="AH44" s="55">
        <f>SUM(AH40:AH43)</f>
        <v>23832.311099999999</v>
      </c>
      <c r="AI44" s="55">
        <f>AH44/AG40</f>
        <v>0.77103764874115954</v>
      </c>
      <c r="AJ44" s="6"/>
      <c r="AK44" s="55"/>
      <c r="AM44" s="8"/>
    </row>
    <row r="45" spans="1:39" s="1" customFormat="1" ht="15.75" x14ac:dyDescent="0.25">
      <c r="A45" s="81"/>
      <c r="B45" s="9"/>
      <c r="C45" s="82"/>
      <c r="D45" s="9"/>
      <c r="E45" s="83"/>
      <c r="F45" s="3"/>
      <c r="G45" s="3"/>
      <c r="H45" s="3"/>
      <c r="I45" s="84"/>
      <c r="J45" s="3"/>
      <c r="K45" s="3"/>
      <c r="L45" s="3"/>
      <c r="M45" s="84"/>
      <c r="N45" s="84"/>
      <c r="O45" s="84"/>
      <c r="P45" s="84"/>
      <c r="Q45" s="84"/>
      <c r="R45" s="3"/>
      <c r="S45" s="84"/>
      <c r="T45" s="3"/>
      <c r="U45" s="3"/>
      <c r="V45" s="84"/>
      <c r="W45" s="3"/>
      <c r="X45" s="3"/>
      <c r="Y45" s="85"/>
      <c r="Z45" s="84"/>
      <c r="AA45" s="3"/>
      <c r="AB45" s="3"/>
      <c r="AC45" s="84"/>
      <c r="AD45" s="84"/>
      <c r="AE45" s="3"/>
      <c r="AF45" s="84"/>
      <c r="AG45" s="3"/>
      <c r="AH45" s="55"/>
      <c r="AI45" s="55"/>
      <c r="AJ45" s="6"/>
      <c r="AK45" s="55"/>
      <c r="AM45" s="8"/>
    </row>
    <row r="46" spans="1:39" ht="22.5" x14ac:dyDescent="0.25">
      <c r="A46" s="9" t="s">
        <v>70</v>
      </c>
      <c r="AE46" s="54">
        <f>SUM(AE11:AE41)</f>
        <v>2033184.9</v>
      </c>
      <c r="AF46" s="54">
        <f>SUM(AF11:AF41)</f>
        <v>4040.4</v>
      </c>
      <c r="AG46" s="53">
        <f>SUM(AG11:AG41)</f>
        <v>2044048.9000000001</v>
      </c>
      <c r="AH46" s="53">
        <f>SUM(AH11:AH41)</f>
        <v>1619751.3900699995</v>
      </c>
      <c r="AI46" s="56">
        <f>SUM(AI11:AI41)</f>
        <v>1636251.699461</v>
      </c>
    </row>
    <row r="47" spans="1:39" ht="20.25" x14ac:dyDescent="0.25">
      <c r="A47" s="9" t="s">
        <v>71</v>
      </c>
      <c r="AE47" s="4"/>
      <c r="AF47" s="4"/>
      <c r="AG47" s="49">
        <v>2055269.6000000003</v>
      </c>
      <c r="AH47" s="49">
        <v>1636251.699461</v>
      </c>
      <c r="AI47" s="50">
        <v>1636251.7</v>
      </c>
    </row>
    <row r="48" spans="1:39" x14ac:dyDescent="0.25">
      <c r="AE48" s="4"/>
      <c r="AF48" s="4"/>
      <c r="AG48" s="50">
        <f>AG46-AG47</f>
        <v>-11220.700000000186</v>
      </c>
      <c r="AH48" s="57">
        <f>AH46-AH47</f>
        <v>-16500.309391000541</v>
      </c>
    </row>
    <row r="49" spans="33:35" x14ac:dyDescent="0.25">
      <c r="AG49" s="2"/>
      <c r="AH49" s="50"/>
      <c r="AI49" s="50"/>
    </row>
  </sheetData>
  <mergeCells count="52">
    <mergeCell ref="AG36:AG37"/>
    <mergeCell ref="A40:A43"/>
    <mergeCell ref="AG40:AG43"/>
    <mergeCell ref="AG17:AG19"/>
    <mergeCell ref="AG20:AG22"/>
    <mergeCell ref="AG23:AG25"/>
    <mergeCell ref="AG26:AG28"/>
    <mergeCell ref="AG29:AG31"/>
    <mergeCell ref="AG32:AG33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</mergeCells>
  <pageMargins left="0" right="0" top="0" bottom="0" header="0.31496062992125984" footer="0.31496062992125984"/>
  <pageSetup paperSize="9" scale="2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M45"/>
  <sheetViews>
    <sheetView view="pageBreakPreview" zoomScale="75" zoomScaleNormal="55" zoomScaleSheetLayoutView="75" workbookViewId="0">
      <pane xSplit="5" ySplit="10" topLeftCell="Z41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28.8554687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</row>
    <row r="3" spans="1:39" ht="15.75" customHeight="1" x14ac:dyDescent="0.25">
      <c r="A3" s="247" t="s">
        <v>0</v>
      </c>
      <c r="B3" s="243" t="s">
        <v>1</v>
      </c>
      <c r="C3" s="248" t="s">
        <v>2</v>
      </c>
      <c r="D3" s="248"/>
      <c r="E3" s="10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4</v>
      </c>
      <c r="AF3" s="243" t="s">
        <v>5</v>
      </c>
      <c r="AG3" s="244" t="s">
        <v>6</v>
      </c>
    </row>
    <row r="4" spans="1:39" ht="15.75" customHeight="1" x14ac:dyDescent="0.25">
      <c r="A4" s="238"/>
      <c r="B4" s="242"/>
      <c r="C4" s="249" t="s">
        <v>7</v>
      </c>
      <c r="D4" s="249" t="s">
        <v>8</v>
      </c>
      <c r="E4" s="249" t="s">
        <v>9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  <c r="AF4" s="242"/>
      <c r="AG4" s="245"/>
    </row>
    <row r="5" spans="1:39" ht="15" customHeight="1" x14ac:dyDescent="0.25">
      <c r="A5" s="238"/>
      <c r="B5" s="242"/>
      <c r="C5" s="249"/>
      <c r="D5" s="249"/>
      <c r="E5" s="249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  <c r="AF5" s="242"/>
      <c r="AG5" s="245"/>
    </row>
    <row r="6" spans="1:39" ht="15.75" x14ac:dyDescent="0.25">
      <c r="A6" s="238"/>
      <c r="B6" s="242"/>
      <c r="C6" s="249"/>
      <c r="D6" s="249"/>
      <c r="E6" s="249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  <c r="AF6" s="242"/>
      <c r="AG6" s="245"/>
    </row>
    <row r="7" spans="1:39" ht="15" customHeight="1" x14ac:dyDescent="0.25">
      <c r="A7" s="238"/>
      <c r="B7" s="242"/>
      <c r="C7" s="249"/>
      <c r="D7" s="249"/>
      <c r="E7" s="249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  <c r="AF7" s="242"/>
      <c r="AG7" s="245"/>
    </row>
    <row r="8" spans="1:39" ht="15.75" x14ac:dyDescent="0.25">
      <c r="A8" s="238"/>
      <c r="B8" s="242"/>
      <c r="C8" s="249"/>
      <c r="D8" s="249"/>
      <c r="E8" s="249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  <c r="AF8" s="242"/>
      <c r="AG8" s="245"/>
    </row>
    <row r="9" spans="1:39" ht="94.5" x14ac:dyDescent="0.25">
      <c r="A9" s="238"/>
      <c r="B9" s="242"/>
      <c r="C9" s="249"/>
      <c r="D9" s="249"/>
      <c r="E9" s="249"/>
      <c r="F9" s="246"/>
      <c r="G9" s="246"/>
      <c r="H9" s="242"/>
      <c r="I9" s="242"/>
      <c r="J9" s="242"/>
      <c r="K9" s="242"/>
      <c r="L9" s="242"/>
      <c r="M9" s="246"/>
      <c r="N9" s="11" t="s">
        <v>33</v>
      </c>
      <c r="O9" s="11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  <c r="AF9" s="242"/>
      <c r="AG9" s="245"/>
      <c r="AH9" s="44" t="s">
        <v>68</v>
      </c>
      <c r="AI9" s="45" t="s">
        <v>69</v>
      </c>
    </row>
    <row r="10" spans="1:39" ht="15.75" x14ac:dyDescent="0.25">
      <c r="A10" s="12">
        <v>1</v>
      </c>
      <c r="B10" s="13">
        <v>2</v>
      </c>
      <c r="C10" s="14">
        <v>3</v>
      </c>
      <c r="D10" s="13">
        <v>4</v>
      </c>
      <c r="E10" s="14">
        <v>5</v>
      </c>
      <c r="F10" s="13">
        <v>6</v>
      </c>
      <c r="G10" s="14">
        <v>7</v>
      </c>
      <c r="H10" s="13">
        <v>8</v>
      </c>
      <c r="I10" s="14">
        <v>9</v>
      </c>
      <c r="J10" s="13">
        <v>10</v>
      </c>
      <c r="K10" s="14">
        <v>11</v>
      </c>
      <c r="L10" s="13">
        <v>12</v>
      </c>
      <c r="M10" s="14">
        <v>13</v>
      </c>
      <c r="N10" s="11">
        <v>14</v>
      </c>
      <c r="O10" s="13">
        <v>15</v>
      </c>
      <c r="P10" s="13">
        <f>O10+1</f>
        <v>16</v>
      </c>
      <c r="Q10" s="13">
        <f t="shared" ref="Q10:AD10" si="0">P10+1</f>
        <v>17</v>
      </c>
      <c r="R10" s="13">
        <f t="shared" si="0"/>
        <v>18</v>
      </c>
      <c r="S10" s="13">
        <f t="shared" si="0"/>
        <v>19</v>
      </c>
      <c r="T10" s="13">
        <f t="shared" si="0"/>
        <v>20</v>
      </c>
      <c r="U10" s="13">
        <f t="shared" si="0"/>
        <v>21</v>
      </c>
      <c r="V10" s="13">
        <f t="shared" si="0"/>
        <v>22</v>
      </c>
      <c r="W10" s="13">
        <f t="shared" si="0"/>
        <v>23</v>
      </c>
      <c r="X10" s="13">
        <f t="shared" si="0"/>
        <v>24</v>
      </c>
      <c r="Y10" s="13">
        <f t="shared" si="0"/>
        <v>25</v>
      </c>
      <c r="Z10" s="13">
        <f t="shared" si="0"/>
        <v>26</v>
      </c>
      <c r="AA10" s="13">
        <f t="shared" si="0"/>
        <v>27</v>
      </c>
      <c r="AB10" s="13">
        <f t="shared" si="0"/>
        <v>28</v>
      </c>
      <c r="AC10" s="13">
        <f t="shared" si="0"/>
        <v>29</v>
      </c>
      <c r="AD10" s="13">
        <f t="shared" si="0"/>
        <v>30</v>
      </c>
      <c r="AE10" s="13">
        <f>AF10+1</f>
        <v>32</v>
      </c>
      <c r="AF10" s="13">
        <f>AD10+1</f>
        <v>31</v>
      </c>
      <c r="AG10" s="15"/>
      <c r="AH10" s="46"/>
    </row>
    <row r="11" spans="1:39" s="1" customFormat="1" ht="94.5" x14ac:dyDescent="0.25">
      <c r="A11" s="16" t="s">
        <v>35</v>
      </c>
      <c r="B11" s="17" t="s">
        <v>36</v>
      </c>
      <c r="C11" s="17" t="s">
        <v>37</v>
      </c>
      <c r="D11" s="18" t="s">
        <v>38</v>
      </c>
      <c r="E11" s="19">
        <v>23764</v>
      </c>
      <c r="F11" s="20">
        <f t="shared" ref="F11:F41" si="1">SUM(G11,M11,Q11,R11,S11,T11,V11,W11,X11,AD11,P11,U11)</f>
        <v>3968.9108000000001</v>
      </c>
      <c r="G11" s="20">
        <f t="shared" ref="G11:G41" si="2">SUM(H11:L11)</f>
        <v>1651.9</v>
      </c>
      <c r="H11" s="21">
        <v>1268.74</v>
      </c>
      <c r="I11" s="22">
        <v>0</v>
      </c>
      <c r="J11" s="22">
        <v>0</v>
      </c>
      <c r="K11" s="20">
        <f t="shared" ref="K11:K41" si="3">ROUND(H11*0.302,2)</f>
        <v>383.16</v>
      </c>
      <c r="L11" s="22">
        <v>0</v>
      </c>
      <c r="M11" s="22">
        <v>181.36</v>
      </c>
      <c r="N11" s="22">
        <v>0</v>
      </c>
      <c r="O11" s="22">
        <v>56.96</v>
      </c>
      <c r="P11" s="22">
        <v>0</v>
      </c>
      <c r="Q11" s="22">
        <v>0.92</v>
      </c>
      <c r="R11" s="21">
        <v>176.31</v>
      </c>
      <c r="S11" s="22">
        <v>79.84</v>
      </c>
      <c r="T11" s="22">
        <v>478.47</v>
      </c>
      <c r="U11" s="22">
        <v>0</v>
      </c>
      <c r="V11" s="22">
        <v>16.11</v>
      </c>
      <c r="W11" s="22">
        <v>0</v>
      </c>
      <c r="X11" s="20">
        <f t="shared" ref="X11:X41" si="4">SUM(Y11:AC11)</f>
        <v>1310.48</v>
      </c>
      <c r="Y11" s="22">
        <v>1006.51</v>
      </c>
      <c r="Z11" s="22">
        <v>0</v>
      </c>
      <c r="AA11" s="22">
        <v>0</v>
      </c>
      <c r="AB11" s="20">
        <f t="shared" ref="AB11:AB41" si="5">ROUND(Y11*0.302,2)</f>
        <v>303.97000000000003</v>
      </c>
      <c r="AC11" s="22">
        <v>0</v>
      </c>
      <c r="AD11" s="22">
        <f>73.615-0.0942</f>
        <v>73.520799999999994</v>
      </c>
      <c r="AE11" s="20">
        <f t="shared" ref="AE11:AE41" si="6">ROUND(E11*F11/1000,1)</f>
        <v>94317.2</v>
      </c>
      <c r="AF11" s="22">
        <v>761.2</v>
      </c>
      <c r="AG11" s="241">
        <f>ROUND(AE11+AE12+AE13+AF11,1)</f>
        <v>101444.2</v>
      </c>
      <c r="AH11" s="47">
        <f>(G11+X11)*E11/1000</f>
        <v>70397.998320000013</v>
      </c>
      <c r="AI11" s="55">
        <v>70917.277365999995</v>
      </c>
      <c r="AJ11" s="6"/>
      <c r="AK11" s="55">
        <f>ROUND(AG11/1000,1)</f>
        <v>101.4</v>
      </c>
      <c r="AM11" s="8"/>
    </row>
    <row r="12" spans="1:39" s="1" customFormat="1" ht="78.75" x14ac:dyDescent="0.25">
      <c r="A12" s="16" t="s">
        <v>35</v>
      </c>
      <c r="B12" s="17" t="s">
        <v>39</v>
      </c>
      <c r="C12" s="17" t="s">
        <v>40</v>
      </c>
      <c r="D12" s="18" t="s">
        <v>38</v>
      </c>
      <c r="E12" s="19">
        <v>54</v>
      </c>
      <c r="F12" s="20">
        <f t="shared" si="1"/>
        <v>29694.579000000002</v>
      </c>
      <c r="G12" s="20">
        <f t="shared" si="2"/>
        <v>25558.61</v>
      </c>
      <c r="H12" s="22">
        <v>19630.27</v>
      </c>
      <c r="I12" s="22">
        <v>0</v>
      </c>
      <c r="J12" s="22">
        <v>0</v>
      </c>
      <c r="K12" s="20">
        <f t="shared" si="3"/>
        <v>5928.34</v>
      </c>
      <c r="L12" s="22">
        <v>0</v>
      </c>
      <c r="M12" s="22">
        <v>210.56</v>
      </c>
      <c r="N12" s="22">
        <v>0</v>
      </c>
      <c r="O12" s="22">
        <v>34.28</v>
      </c>
      <c r="P12" s="22">
        <v>0</v>
      </c>
      <c r="Q12" s="22">
        <v>47.71</v>
      </c>
      <c r="R12" s="22">
        <v>101.74</v>
      </c>
      <c r="S12" s="22">
        <v>485.92</v>
      </c>
      <c r="T12" s="22">
        <v>206.34</v>
      </c>
      <c r="U12" s="22">
        <v>0</v>
      </c>
      <c r="V12" s="22">
        <v>11.36</v>
      </c>
      <c r="W12" s="22">
        <v>0</v>
      </c>
      <c r="X12" s="20">
        <f t="shared" si="4"/>
        <v>2479.2399999999998</v>
      </c>
      <c r="Y12" s="22">
        <v>1904.18</v>
      </c>
      <c r="Z12" s="22">
        <v>0</v>
      </c>
      <c r="AA12" s="22">
        <v>0</v>
      </c>
      <c r="AB12" s="20">
        <f t="shared" si="5"/>
        <v>575.05999999999995</v>
      </c>
      <c r="AC12" s="22">
        <v>0</v>
      </c>
      <c r="AD12" s="22">
        <v>593.09900000000005</v>
      </c>
      <c r="AE12" s="20">
        <f t="shared" si="6"/>
        <v>1603.5</v>
      </c>
      <c r="AF12" s="22">
        <v>0</v>
      </c>
      <c r="AG12" s="241"/>
      <c r="AH12" s="47">
        <f t="shared" ref="AH12:AH41" si="7">(G12+X12)*E12/1000</f>
        <v>1514.0438999999999</v>
      </c>
      <c r="AI12" s="55">
        <v>1525.2091236000001</v>
      </c>
      <c r="AJ12" s="6"/>
      <c r="AK12" s="7"/>
      <c r="AM12" s="8"/>
    </row>
    <row r="13" spans="1:39" s="1" customFormat="1" ht="78.75" x14ac:dyDescent="0.25">
      <c r="A13" s="23" t="s">
        <v>35</v>
      </c>
      <c r="B13" s="17" t="s">
        <v>41</v>
      </c>
      <c r="C13" s="24" t="s">
        <v>42</v>
      </c>
      <c r="D13" s="18" t="s">
        <v>38</v>
      </c>
      <c r="E13" s="19">
        <v>41</v>
      </c>
      <c r="F13" s="20">
        <f t="shared" si="1"/>
        <v>116153.15700000001</v>
      </c>
      <c r="G13" s="20">
        <f t="shared" si="2"/>
        <v>77403.78</v>
      </c>
      <c r="H13" s="21">
        <v>59449.91</v>
      </c>
      <c r="I13" s="22">
        <v>0</v>
      </c>
      <c r="J13" s="22">
        <v>0</v>
      </c>
      <c r="K13" s="20">
        <f t="shared" si="3"/>
        <v>17953.87</v>
      </c>
      <c r="L13" s="22">
        <v>0</v>
      </c>
      <c r="M13" s="22">
        <v>792.29</v>
      </c>
      <c r="N13" s="22">
        <v>0</v>
      </c>
      <c r="O13" s="22">
        <v>72.12</v>
      </c>
      <c r="P13" s="22">
        <v>0</v>
      </c>
      <c r="Q13" s="22">
        <v>10738.13</v>
      </c>
      <c r="R13" s="22">
        <v>401.77</v>
      </c>
      <c r="S13" s="22">
        <v>1059.44</v>
      </c>
      <c r="T13" s="22">
        <v>12398.34</v>
      </c>
      <c r="U13" s="22">
        <v>0</v>
      </c>
      <c r="V13" s="22">
        <v>58.21</v>
      </c>
      <c r="W13" s="22">
        <v>0</v>
      </c>
      <c r="X13" s="20">
        <f t="shared" si="4"/>
        <v>10688.65</v>
      </c>
      <c r="Y13" s="22">
        <v>8209.41</v>
      </c>
      <c r="Z13" s="22">
        <v>0</v>
      </c>
      <c r="AA13" s="22">
        <v>0</v>
      </c>
      <c r="AB13" s="20">
        <f t="shared" si="5"/>
        <v>2479.2399999999998</v>
      </c>
      <c r="AC13" s="22">
        <v>0</v>
      </c>
      <c r="AD13" s="22">
        <v>2612.547</v>
      </c>
      <c r="AE13" s="20">
        <f t="shared" si="6"/>
        <v>4762.3</v>
      </c>
      <c r="AF13" s="22">
        <v>0</v>
      </c>
      <c r="AG13" s="241"/>
      <c r="AH13" s="47">
        <f t="shared" si="7"/>
        <v>3611.7896299999998</v>
      </c>
      <c r="AI13" s="55">
        <v>3638.4233530000006</v>
      </c>
      <c r="AJ13" s="6"/>
      <c r="AK13" s="7"/>
      <c r="AM13" s="8"/>
    </row>
    <row r="14" spans="1:39" s="1" customFormat="1" ht="94.5" x14ac:dyDescent="0.25">
      <c r="A14" s="16" t="s">
        <v>43</v>
      </c>
      <c r="B14" s="17" t="s">
        <v>36</v>
      </c>
      <c r="C14" s="17" t="s">
        <v>37</v>
      </c>
      <c r="D14" s="17" t="s">
        <v>38</v>
      </c>
      <c r="E14" s="19">
        <v>20521</v>
      </c>
      <c r="F14" s="20">
        <f t="shared" si="1"/>
        <v>4199.8069999999998</v>
      </c>
      <c r="G14" s="20">
        <f t="shared" si="2"/>
        <v>1921.66</v>
      </c>
      <c r="H14" s="20">
        <v>1475.93</v>
      </c>
      <c r="I14" s="25"/>
      <c r="J14" s="25"/>
      <c r="K14" s="20">
        <f t="shared" si="3"/>
        <v>445.73</v>
      </c>
      <c r="L14" s="25">
        <v>0</v>
      </c>
      <c r="M14" s="21">
        <v>325.42</v>
      </c>
      <c r="N14" s="20">
        <v>78.78</v>
      </c>
      <c r="O14" s="25">
        <v>3.99</v>
      </c>
      <c r="P14" s="26">
        <v>0</v>
      </c>
      <c r="Q14" s="25">
        <v>172.17</v>
      </c>
      <c r="R14" s="20">
        <v>274.17</v>
      </c>
      <c r="S14" s="25">
        <v>112.84</v>
      </c>
      <c r="T14" s="25">
        <v>90.43</v>
      </c>
      <c r="U14" s="20">
        <v>0</v>
      </c>
      <c r="V14" s="25">
        <v>19.2</v>
      </c>
      <c r="W14" s="25">
        <v>0</v>
      </c>
      <c r="X14" s="20">
        <f t="shared" si="4"/>
        <v>1121.17</v>
      </c>
      <c r="Y14" s="27">
        <v>861.11</v>
      </c>
      <c r="Z14" s="27"/>
      <c r="AA14" s="27"/>
      <c r="AB14" s="20">
        <f t="shared" si="5"/>
        <v>260.06</v>
      </c>
      <c r="AC14" s="25">
        <v>0</v>
      </c>
      <c r="AD14" s="25">
        <v>162.74700000000001</v>
      </c>
      <c r="AE14" s="20">
        <f t="shared" si="6"/>
        <v>86184.2</v>
      </c>
      <c r="AF14" s="25">
        <v>301.7</v>
      </c>
      <c r="AG14" s="237">
        <f>ROUND(AE14+AE15+AE16+AF14,1)</f>
        <v>87892.6</v>
      </c>
      <c r="AH14" s="47">
        <f t="shared" si="7"/>
        <v>62441.914429999997</v>
      </c>
      <c r="AI14" s="55">
        <v>62902.241501999997</v>
      </c>
      <c r="AJ14" s="6"/>
      <c r="AK14" s="55">
        <f>ROUND(AG14/1000,1)</f>
        <v>87.9</v>
      </c>
      <c r="AM14" s="8"/>
    </row>
    <row r="15" spans="1:39" s="1" customFormat="1" ht="78.75" x14ac:dyDescent="0.25">
      <c r="A15" s="16" t="s">
        <v>43</v>
      </c>
      <c r="B15" s="17" t="s">
        <v>39</v>
      </c>
      <c r="C15" s="17" t="s">
        <v>40</v>
      </c>
      <c r="D15" s="17" t="s">
        <v>38</v>
      </c>
      <c r="E15" s="19">
        <v>57</v>
      </c>
      <c r="F15" s="20">
        <f t="shared" si="1"/>
        <v>13321.769</v>
      </c>
      <c r="G15" s="20">
        <f t="shared" si="2"/>
        <v>11668.16</v>
      </c>
      <c r="H15" s="20">
        <v>8961.7199999999993</v>
      </c>
      <c r="I15" s="25"/>
      <c r="J15" s="25"/>
      <c r="K15" s="20">
        <f t="shared" si="3"/>
        <v>2706.44</v>
      </c>
      <c r="L15" s="25">
        <v>0</v>
      </c>
      <c r="M15" s="25">
        <v>218.19</v>
      </c>
      <c r="N15" s="20">
        <v>0</v>
      </c>
      <c r="O15" s="25">
        <v>5</v>
      </c>
      <c r="P15" s="26">
        <v>0</v>
      </c>
      <c r="Q15" s="25">
        <v>80</v>
      </c>
      <c r="R15" s="20">
        <v>88.99</v>
      </c>
      <c r="S15" s="25">
        <v>25.95</v>
      </c>
      <c r="T15" s="25">
        <v>0</v>
      </c>
      <c r="U15" s="20">
        <v>0</v>
      </c>
      <c r="V15" s="25">
        <v>19.11</v>
      </c>
      <c r="W15" s="25">
        <v>0</v>
      </c>
      <c r="X15" s="20">
        <f t="shared" si="4"/>
        <v>1144.1199999999999</v>
      </c>
      <c r="Y15" s="27">
        <v>878.74</v>
      </c>
      <c r="Z15" s="27"/>
      <c r="AA15" s="27"/>
      <c r="AB15" s="20">
        <f t="shared" si="5"/>
        <v>265.38</v>
      </c>
      <c r="AC15" s="25">
        <v>0</v>
      </c>
      <c r="AD15" s="25">
        <v>77.248999999999995</v>
      </c>
      <c r="AE15" s="20">
        <f t="shared" si="6"/>
        <v>759.3</v>
      </c>
      <c r="AF15" s="25">
        <v>0</v>
      </c>
      <c r="AG15" s="237"/>
      <c r="AH15" s="47">
        <f t="shared" si="7"/>
        <v>730.29995999999994</v>
      </c>
      <c r="AI15" s="55">
        <v>735.68520599999988</v>
      </c>
      <c r="AJ15" s="6"/>
      <c r="AK15" s="7"/>
      <c r="AM15" s="8"/>
    </row>
    <row r="16" spans="1:39" s="1" customFormat="1" ht="78.75" x14ac:dyDescent="0.25">
      <c r="A16" s="16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323714.69900000002</v>
      </c>
      <c r="G16" s="20">
        <f t="shared" si="2"/>
        <v>280421.14</v>
      </c>
      <c r="H16" s="20">
        <v>215377.22</v>
      </c>
      <c r="I16" s="20"/>
      <c r="J16" s="20"/>
      <c r="K16" s="20">
        <f t="shared" si="3"/>
        <v>65043.92</v>
      </c>
      <c r="L16" s="20">
        <v>0</v>
      </c>
      <c r="M16" s="20">
        <v>28769.200000000001</v>
      </c>
      <c r="N16" s="20">
        <v>1132.1500000000001</v>
      </c>
      <c r="O16" s="20">
        <v>28769.200000000001</v>
      </c>
      <c r="P16" s="20">
        <v>0</v>
      </c>
      <c r="Q16" s="20">
        <v>5500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4"/>
        <v>7396.9500000000007</v>
      </c>
      <c r="Y16" s="20">
        <v>5681.22</v>
      </c>
      <c r="Z16" s="20"/>
      <c r="AA16" s="20"/>
      <c r="AB16" s="20">
        <f t="shared" si="5"/>
        <v>1715.73</v>
      </c>
      <c r="AC16" s="25">
        <v>0</v>
      </c>
      <c r="AD16" s="25">
        <v>959.09900000000005</v>
      </c>
      <c r="AE16" s="20">
        <f t="shared" si="6"/>
        <v>647.4</v>
      </c>
      <c r="AF16" s="20">
        <v>0</v>
      </c>
      <c r="AG16" s="237"/>
      <c r="AH16" s="47">
        <f t="shared" si="7"/>
        <v>575.63618000000008</v>
      </c>
      <c r="AI16" s="55">
        <v>579.88096799999994</v>
      </c>
      <c r="AJ16" s="6"/>
      <c r="AK16" s="7"/>
      <c r="AM16" s="8"/>
    </row>
    <row r="17" spans="1:39" s="1" customFormat="1" ht="94.5" x14ac:dyDescent="0.25">
      <c r="A17" s="16" t="s">
        <v>44</v>
      </c>
      <c r="B17" s="17" t="s">
        <v>36</v>
      </c>
      <c r="C17" s="17" t="s">
        <v>37</v>
      </c>
      <c r="D17" s="17" t="s">
        <v>45</v>
      </c>
      <c r="E17" s="19">
        <v>32061</v>
      </c>
      <c r="F17" s="20">
        <f t="shared" si="1"/>
        <v>2817.3670000000002</v>
      </c>
      <c r="G17" s="20">
        <f t="shared" si="2"/>
        <v>1559.8999999999999</v>
      </c>
      <c r="H17" s="20">
        <v>1198.08</v>
      </c>
      <c r="I17" s="25">
        <v>0</v>
      </c>
      <c r="J17" s="25">
        <v>0</v>
      </c>
      <c r="K17" s="20">
        <f t="shared" si="3"/>
        <v>361.82</v>
      </c>
      <c r="L17" s="25">
        <v>0</v>
      </c>
      <c r="M17" s="21">
        <v>298.81</v>
      </c>
      <c r="N17" s="25">
        <v>67.61</v>
      </c>
      <c r="O17" s="25">
        <v>52.19</v>
      </c>
      <c r="P17" s="26">
        <v>0</v>
      </c>
      <c r="Q17" s="25">
        <v>65.819999999999993</v>
      </c>
      <c r="R17" s="25">
        <v>79.069999999999993</v>
      </c>
      <c r="S17" s="25">
        <v>197.27</v>
      </c>
      <c r="T17" s="25">
        <v>48.56</v>
      </c>
      <c r="U17" s="20">
        <v>0</v>
      </c>
      <c r="V17" s="25">
        <v>10.3</v>
      </c>
      <c r="W17" s="25">
        <v>0</v>
      </c>
      <c r="X17" s="20">
        <f t="shared" si="4"/>
        <v>531.84</v>
      </c>
      <c r="Y17" s="27">
        <v>408.48</v>
      </c>
      <c r="Z17" s="25">
        <v>0</v>
      </c>
      <c r="AA17" s="25">
        <v>0</v>
      </c>
      <c r="AB17" s="20">
        <f t="shared" si="5"/>
        <v>123.36</v>
      </c>
      <c r="AC17" s="25">
        <v>0</v>
      </c>
      <c r="AD17" s="25">
        <v>25.797000000000001</v>
      </c>
      <c r="AE17" s="20">
        <f t="shared" si="6"/>
        <v>90327.6</v>
      </c>
      <c r="AF17" s="25">
        <v>406.4</v>
      </c>
      <c r="AG17" s="237">
        <f>ROUND(AE17+AE18+AE19+AF17,1)</f>
        <v>95603.1</v>
      </c>
      <c r="AH17" s="47">
        <f t="shared" si="7"/>
        <v>67063.276139999987</v>
      </c>
      <c r="AI17" s="55">
        <v>67557.849126000001</v>
      </c>
      <c r="AJ17" s="6"/>
      <c r="AK17" s="55">
        <f>ROUND(AG17/1000,1)</f>
        <v>95.6</v>
      </c>
      <c r="AM17" s="8"/>
    </row>
    <row r="18" spans="1:39" s="1" customFormat="1" ht="78.75" x14ac:dyDescent="0.25">
      <c r="A18" s="16" t="s">
        <v>44</v>
      </c>
      <c r="B18" s="17" t="s">
        <v>39</v>
      </c>
      <c r="C18" s="17" t="s">
        <v>40</v>
      </c>
      <c r="D18" s="17" t="s">
        <v>45</v>
      </c>
      <c r="E18" s="19">
        <v>139</v>
      </c>
      <c r="F18" s="20">
        <f t="shared" si="1"/>
        <v>17966.012000000002</v>
      </c>
      <c r="G18" s="20">
        <f t="shared" si="2"/>
        <v>11544.44</v>
      </c>
      <c r="H18" s="20">
        <v>8866.7000000000007</v>
      </c>
      <c r="I18" s="25">
        <v>0</v>
      </c>
      <c r="J18" s="25">
        <v>0</v>
      </c>
      <c r="K18" s="20">
        <f t="shared" si="3"/>
        <v>2677.74</v>
      </c>
      <c r="L18" s="25">
        <v>0</v>
      </c>
      <c r="M18" s="25">
        <v>1167.99</v>
      </c>
      <c r="N18" s="25">
        <v>526.32000000000005</v>
      </c>
      <c r="O18" s="25">
        <v>466.67</v>
      </c>
      <c r="P18" s="26">
        <v>0</v>
      </c>
      <c r="Q18" s="25">
        <v>233.33</v>
      </c>
      <c r="R18" s="25">
        <v>217.96</v>
      </c>
      <c r="S18" s="25">
        <v>2036.69</v>
      </c>
      <c r="T18" s="25">
        <v>0</v>
      </c>
      <c r="U18" s="20">
        <v>0</v>
      </c>
      <c r="V18" s="25">
        <v>73.680000000000007</v>
      </c>
      <c r="W18" s="25">
        <v>0</v>
      </c>
      <c r="X18" s="20">
        <f t="shared" si="4"/>
        <v>1651.99</v>
      </c>
      <c r="Y18" s="27">
        <v>1268.81</v>
      </c>
      <c r="Z18" s="25">
        <v>0</v>
      </c>
      <c r="AA18" s="25">
        <v>0</v>
      </c>
      <c r="AB18" s="20">
        <f t="shared" si="5"/>
        <v>383.18</v>
      </c>
      <c r="AC18" s="25">
        <v>0</v>
      </c>
      <c r="AD18" s="25">
        <v>1039.932</v>
      </c>
      <c r="AE18" s="20">
        <f t="shared" si="6"/>
        <v>2497.3000000000002</v>
      </c>
      <c r="AF18" s="25">
        <v>0</v>
      </c>
      <c r="AG18" s="237"/>
      <c r="AH18" s="47">
        <f t="shared" si="7"/>
        <v>1834.30377</v>
      </c>
      <c r="AI18" s="55">
        <v>1847.831111</v>
      </c>
      <c r="AJ18" s="6"/>
      <c r="AK18" s="7"/>
      <c r="AM18" s="8"/>
    </row>
    <row r="19" spans="1:39" s="1" customFormat="1" ht="78.75" x14ac:dyDescent="0.25">
      <c r="A19" s="16" t="s">
        <v>44</v>
      </c>
      <c r="B19" s="17" t="s">
        <v>41</v>
      </c>
      <c r="C19" s="17" t="s">
        <v>42</v>
      </c>
      <c r="D19" s="17" t="s">
        <v>38</v>
      </c>
      <c r="E19" s="19">
        <v>5</v>
      </c>
      <c r="F19" s="20">
        <f t="shared" si="1"/>
        <v>474354.71400000004</v>
      </c>
      <c r="G19" s="20">
        <f t="shared" si="2"/>
        <v>247148.56</v>
      </c>
      <c r="H19" s="20">
        <v>189822.24</v>
      </c>
      <c r="I19" s="25">
        <v>0</v>
      </c>
      <c r="J19" s="25">
        <v>0</v>
      </c>
      <c r="K19" s="20">
        <f t="shared" si="3"/>
        <v>57326.32</v>
      </c>
      <c r="L19" s="25">
        <v>0</v>
      </c>
      <c r="M19" s="25">
        <v>106722.86</v>
      </c>
      <c r="N19" s="25">
        <v>91040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61787.14</v>
      </c>
      <c r="Y19" s="25">
        <v>47455.56</v>
      </c>
      <c r="Z19" s="20">
        <v>0</v>
      </c>
      <c r="AA19" s="27">
        <v>0</v>
      </c>
      <c r="AB19" s="20">
        <f t="shared" si="5"/>
        <v>14331.58</v>
      </c>
      <c r="AC19" s="25">
        <v>0</v>
      </c>
      <c r="AD19" s="25">
        <v>20989.013999999999</v>
      </c>
      <c r="AE19" s="20">
        <f t="shared" si="6"/>
        <v>2371.8000000000002</v>
      </c>
      <c r="AF19" s="25">
        <v>0</v>
      </c>
      <c r="AG19" s="237"/>
      <c r="AH19" s="47">
        <f t="shared" si="7"/>
        <v>1544.6785</v>
      </c>
      <c r="AI19" s="55">
        <v>1556.0689850000001</v>
      </c>
      <c r="AJ19" s="6"/>
      <c r="AK19" s="7"/>
      <c r="AM19" s="8"/>
    </row>
    <row r="20" spans="1:39" s="1" customFormat="1" ht="94.5" x14ac:dyDescent="0.25">
      <c r="A20" s="16" t="s">
        <v>46</v>
      </c>
      <c r="B20" s="13" t="s">
        <v>36</v>
      </c>
      <c r="C20" s="17" t="s">
        <v>37</v>
      </c>
      <c r="D20" s="13" t="s">
        <v>45</v>
      </c>
      <c r="E20" s="19">
        <v>10254</v>
      </c>
      <c r="F20" s="20">
        <f t="shared" si="1"/>
        <v>8170.7710000000015</v>
      </c>
      <c r="G20" s="20">
        <f t="shared" si="2"/>
        <v>4646.0700000000006</v>
      </c>
      <c r="H20" s="20">
        <v>3535.66</v>
      </c>
      <c r="I20" s="20">
        <v>0</v>
      </c>
      <c r="J20" s="20">
        <v>0</v>
      </c>
      <c r="K20" s="20">
        <f t="shared" si="3"/>
        <v>1067.77</v>
      </c>
      <c r="L20" s="20">
        <v>42.64</v>
      </c>
      <c r="M20" s="21">
        <v>743.71</v>
      </c>
      <c r="N20" s="20">
        <v>29.51</v>
      </c>
      <c r="O20" s="20">
        <v>40.770000000000003</v>
      </c>
      <c r="P20" s="26">
        <v>0</v>
      </c>
      <c r="Q20" s="20">
        <v>0</v>
      </c>
      <c r="R20" s="20">
        <v>262.33</v>
      </c>
      <c r="S20" s="20">
        <v>791.58</v>
      </c>
      <c r="T20" s="20">
        <v>101.84</v>
      </c>
      <c r="U20" s="20">
        <v>0</v>
      </c>
      <c r="V20" s="20">
        <v>30.12</v>
      </c>
      <c r="W20" s="20">
        <v>5.01</v>
      </c>
      <c r="X20" s="20">
        <f t="shared" si="4"/>
        <v>1558.73</v>
      </c>
      <c r="Y20" s="27">
        <v>1197.18</v>
      </c>
      <c r="Z20" s="20">
        <v>0</v>
      </c>
      <c r="AA20" s="20"/>
      <c r="AB20" s="20">
        <f t="shared" si="5"/>
        <v>361.55</v>
      </c>
      <c r="AC20" s="25">
        <v>0</v>
      </c>
      <c r="AD20" s="25">
        <v>31.381</v>
      </c>
      <c r="AE20" s="20">
        <f t="shared" si="6"/>
        <v>83783.100000000006</v>
      </c>
      <c r="AF20" s="20">
        <v>164.4</v>
      </c>
      <c r="AG20" s="237">
        <f>ROUND(AE20+AE21+AE22+AF20,1)</f>
        <v>87522.6</v>
      </c>
      <c r="AH20" s="47">
        <f t="shared" si="7"/>
        <v>63624.01920000001</v>
      </c>
      <c r="AI20" s="55">
        <v>64093.238318823423</v>
      </c>
      <c r="AJ20" s="6"/>
      <c r="AK20" s="55">
        <f>ROUND(AG20/1000,1)</f>
        <v>87.5</v>
      </c>
      <c r="AM20" s="8"/>
    </row>
    <row r="21" spans="1:39" s="1" customFormat="1" ht="78.75" x14ac:dyDescent="0.25">
      <c r="A21" s="16" t="s">
        <v>46</v>
      </c>
      <c r="B21" s="13" t="s">
        <v>39</v>
      </c>
      <c r="C21" s="17" t="s">
        <v>40</v>
      </c>
      <c r="D21" s="13" t="s">
        <v>45</v>
      </c>
      <c r="E21" s="19">
        <v>78</v>
      </c>
      <c r="F21" s="20">
        <f t="shared" si="1"/>
        <v>22574.865000000002</v>
      </c>
      <c r="G21" s="20">
        <f t="shared" si="2"/>
        <v>13324.32</v>
      </c>
      <c r="H21" s="20">
        <v>9557.0300000000007</v>
      </c>
      <c r="I21" s="20">
        <v>0</v>
      </c>
      <c r="J21" s="20">
        <v>0</v>
      </c>
      <c r="K21" s="20">
        <f t="shared" si="3"/>
        <v>2886.22</v>
      </c>
      <c r="L21" s="20">
        <v>881.07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v>1804.91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6297.49</v>
      </c>
      <c r="Y21" s="27">
        <v>4836.78</v>
      </c>
      <c r="Z21" s="20">
        <v>0</v>
      </c>
      <c r="AA21" s="20"/>
      <c r="AB21" s="20">
        <f t="shared" si="5"/>
        <v>1460.71</v>
      </c>
      <c r="AC21" s="25">
        <v>0</v>
      </c>
      <c r="AD21" s="25">
        <v>313.46499999999997</v>
      </c>
      <c r="AE21" s="20">
        <f t="shared" si="6"/>
        <v>1760.8</v>
      </c>
      <c r="AF21" s="20">
        <v>0</v>
      </c>
      <c r="AG21" s="237"/>
      <c r="AH21" s="47">
        <f t="shared" si="7"/>
        <v>1530.5011799999997</v>
      </c>
      <c r="AI21" s="55">
        <v>1541.7870346666666</v>
      </c>
      <c r="AJ21" s="6"/>
      <c r="AK21" s="7"/>
      <c r="AM21" s="8"/>
    </row>
    <row r="22" spans="1:39" s="1" customFormat="1" ht="78.75" x14ac:dyDescent="0.25">
      <c r="A22" s="16" t="s">
        <v>46</v>
      </c>
      <c r="B22" s="17" t="s">
        <v>41</v>
      </c>
      <c r="C22" s="17" t="s">
        <v>42</v>
      </c>
      <c r="D22" s="13" t="s">
        <v>38</v>
      </c>
      <c r="E22" s="19">
        <v>9</v>
      </c>
      <c r="F22" s="20">
        <f t="shared" si="1"/>
        <v>201593.31500000003</v>
      </c>
      <c r="G22" s="20">
        <f t="shared" si="2"/>
        <v>137750.52000000002</v>
      </c>
      <c r="H22" s="20">
        <v>104179.78</v>
      </c>
      <c r="I22" s="20">
        <v>0</v>
      </c>
      <c r="J22" s="20">
        <v>0</v>
      </c>
      <c r="K22" s="20">
        <f t="shared" si="3"/>
        <v>31462.29</v>
      </c>
      <c r="L22" s="20">
        <f>2079.48+28.97</f>
        <v>2108.4499999999998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3210.74+44.44</f>
        <v>3255.18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57646.26</v>
      </c>
      <c r="Y22" s="20">
        <v>44275.16</v>
      </c>
      <c r="Z22" s="20">
        <v>0</v>
      </c>
      <c r="AA22" s="20"/>
      <c r="AB22" s="20">
        <f t="shared" si="5"/>
        <v>13371.1</v>
      </c>
      <c r="AC22" s="25">
        <v>0</v>
      </c>
      <c r="AD22" s="25">
        <v>669.94500000000005</v>
      </c>
      <c r="AE22" s="20">
        <f t="shared" si="6"/>
        <v>1814.3</v>
      </c>
      <c r="AF22" s="20"/>
      <c r="AG22" s="237"/>
      <c r="AH22" s="47">
        <f t="shared" si="7"/>
        <v>1758.5710200000003</v>
      </c>
      <c r="AI22" s="55">
        <v>1771.2762164999999</v>
      </c>
      <c r="AJ22" s="6"/>
      <c r="AK22" s="7"/>
      <c r="AM22" s="8"/>
    </row>
    <row r="23" spans="1:39" s="1" customFormat="1" ht="94.5" x14ac:dyDescent="0.25">
      <c r="A23" s="16" t="s">
        <v>47</v>
      </c>
      <c r="B23" s="17" t="s">
        <v>36</v>
      </c>
      <c r="C23" s="17" t="s">
        <v>37</v>
      </c>
      <c r="D23" s="28" t="s">
        <v>38</v>
      </c>
      <c r="E23" s="19">
        <v>18226</v>
      </c>
      <c r="F23" s="20">
        <f t="shared" si="1"/>
        <v>5759.5419999999995</v>
      </c>
      <c r="G23" s="20">
        <f t="shared" si="2"/>
        <v>3480.02</v>
      </c>
      <c r="H23" s="20">
        <v>2672.83</v>
      </c>
      <c r="I23" s="25"/>
      <c r="J23" s="25"/>
      <c r="K23" s="20">
        <f t="shared" si="3"/>
        <v>807.19</v>
      </c>
      <c r="L23" s="25">
        <v>0</v>
      </c>
      <c r="M23" s="21">
        <v>649.29</v>
      </c>
      <c r="N23" s="25">
        <v>483.44</v>
      </c>
      <c r="O23" s="25">
        <v>15.11</v>
      </c>
      <c r="P23" s="26">
        <v>0</v>
      </c>
      <c r="Q23" s="25">
        <v>163.44999999999999</v>
      </c>
      <c r="R23" s="25">
        <v>154.35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895.13</v>
      </c>
      <c r="Y23" s="27">
        <v>687.5</v>
      </c>
      <c r="Z23" s="27"/>
      <c r="AA23" s="27"/>
      <c r="AB23" s="20">
        <f t="shared" si="5"/>
        <v>207.63</v>
      </c>
      <c r="AC23" s="25">
        <v>0</v>
      </c>
      <c r="AD23" s="25">
        <v>37.042000000000002</v>
      </c>
      <c r="AE23" s="20">
        <f t="shared" si="6"/>
        <v>104973.4</v>
      </c>
      <c r="AF23" s="27">
        <v>294.2</v>
      </c>
      <c r="AG23" s="237">
        <f>ROUND(AE23+AE24+AE25+AF23,1)</f>
        <v>111749.1</v>
      </c>
      <c r="AH23" s="47">
        <f t="shared" si="7"/>
        <v>79741.483899999992</v>
      </c>
      <c r="AI23" s="55">
        <v>80329.582241999989</v>
      </c>
      <c r="AJ23" s="6"/>
      <c r="AK23" s="55">
        <f>ROUND(AG23/1000,1)</f>
        <v>111.7</v>
      </c>
      <c r="AM23" s="8"/>
    </row>
    <row r="24" spans="1:39" s="1" customFormat="1" ht="78.75" x14ac:dyDescent="0.25">
      <c r="A24" s="16" t="s">
        <v>47</v>
      </c>
      <c r="B24" s="17" t="s">
        <v>39</v>
      </c>
      <c r="C24" s="17" t="s">
        <v>40</v>
      </c>
      <c r="D24" s="28" t="s">
        <v>38</v>
      </c>
      <c r="E24" s="19">
        <v>219</v>
      </c>
      <c r="F24" s="20">
        <f t="shared" si="1"/>
        <v>15684.470999999998</v>
      </c>
      <c r="G24" s="20">
        <f t="shared" si="2"/>
        <v>11247.939999999999</v>
      </c>
      <c r="H24" s="20">
        <v>8638.9699999999993</v>
      </c>
      <c r="I24" s="25"/>
      <c r="J24" s="25"/>
      <c r="K24" s="20">
        <f t="shared" si="3"/>
        <v>2608.9699999999998</v>
      </c>
      <c r="L24" s="25">
        <v>0</v>
      </c>
      <c r="M24" s="25">
        <v>223.04</v>
      </c>
      <c r="N24" s="25">
        <v>0</v>
      </c>
      <c r="O24" s="25">
        <v>0</v>
      </c>
      <c r="P24" s="26">
        <v>0</v>
      </c>
      <c r="Q24" s="25">
        <v>2727.59</v>
      </c>
      <c r="R24" s="25">
        <v>154.35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895.13</v>
      </c>
      <c r="Y24" s="27">
        <v>687.5</v>
      </c>
      <c r="Z24" s="27"/>
      <c r="AA24" s="27"/>
      <c r="AB24" s="20">
        <f t="shared" si="5"/>
        <v>207.63</v>
      </c>
      <c r="AC24" s="25">
        <v>0</v>
      </c>
      <c r="AD24" s="25">
        <v>63.040999999999997</v>
      </c>
      <c r="AE24" s="20">
        <f t="shared" si="6"/>
        <v>3434.9</v>
      </c>
      <c r="AF24" s="27">
        <v>0</v>
      </c>
      <c r="AG24" s="237"/>
      <c r="AH24" s="47">
        <f t="shared" si="7"/>
        <v>2659.3323299999997</v>
      </c>
      <c r="AI24" s="55">
        <v>2678.9424660000004</v>
      </c>
      <c r="AJ24" s="6"/>
      <c r="AK24" s="7"/>
      <c r="AM24" s="8"/>
    </row>
    <row r="25" spans="1:39" s="1" customFormat="1" ht="78.75" x14ac:dyDescent="0.25">
      <c r="A25" s="16" t="s">
        <v>47</v>
      </c>
      <c r="B25" s="17" t="s">
        <v>41</v>
      </c>
      <c r="C25" s="24" t="s">
        <v>42</v>
      </c>
      <c r="D25" s="28" t="s">
        <v>38</v>
      </c>
      <c r="E25" s="19">
        <v>29</v>
      </c>
      <c r="F25" s="20">
        <f t="shared" si="1"/>
        <v>105055.37800000004</v>
      </c>
      <c r="G25" s="20">
        <f t="shared" si="2"/>
        <v>78950.510000000009</v>
      </c>
      <c r="H25" s="20">
        <v>60637.87</v>
      </c>
      <c r="I25" s="20"/>
      <c r="J25" s="20"/>
      <c r="K25" s="20">
        <f t="shared" si="3"/>
        <v>18312.64</v>
      </c>
      <c r="L25" s="20">
        <v>0</v>
      </c>
      <c r="M25" s="20">
        <v>412.14</v>
      </c>
      <c r="N25" s="20">
        <v>0</v>
      </c>
      <c r="O25" s="20">
        <v>0</v>
      </c>
      <c r="P25" s="20">
        <v>0</v>
      </c>
      <c r="Q25" s="20">
        <v>23980.77</v>
      </c>
      <c r="R25" s="20">
        <v>154.35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895.13</v>
      </c>
      <c r="Y25" s="27">
        <v>687.5</v>
      </c>
      <c r="Z25" s="20"/>
      <c r="AA25" s="20"/>
      <c r="AB25" s="20">
        <f t="shared" si="5"/>
        <v>207.63</v>
      </c>
      <c r="AC25" s="25">
        <v>0</v>
      </c>
      <c r="AD25" s="25">
        <v>288.22800000000001</v>
      </c>
      <c r="AE25" s="20">
        <f t="shared" si="6"/>
        <v>3046.6</v>
      </c>
      <c r="AF25" s="20">
        <v>0</v>
      </c>
      <c r="AG25" s="237"/>
      <c r="AH25" s="47">
        <f t="shared" si="7"/>
        <v>2315.5235600000005</v>
      </c>
      <c r="AI25" s="55">
        <v>2332.5985570000003</v>
      </c>
      <c r="AJ25" s="6"/>
      <c r="AK25" s="7"/>
      <c r="AM25" s="8"/>
    </row>
    <row r="26" spans="1:39" s="1" customFormat="1" ht="78.75" x14ac:dyDescent="0.25">
      <c r="A26" s="16" t="s">
        <v>48</v>
      </c>
      <c r="B26" s="17" t="s">
        <v>49</v>
      </c>
      <c r="C26" s="17" t="s">
        <v>37</v>
      </c>
      <c r="D26" s="18" t="s">
        <v>38</v>
      </c>
      <c r="E26" s="19">
        <v>41460</v>
      </c>
      <c r="F26" s="20">
        <f t="shared" si="1"/>
        <v>2416.9899999999998</v>
      </c>
      <c r="G26" s="20">
        <f t="shared" si="2"/>
        <v>1870.5700000000002</v>
      </c>
      <c r="H26" s="20">
        <v>1436.69</v>
      </c>
      <c r="I26" s="25"/>
      <c r="J26" s="25"/>
      <c r="K26" s="20">
        <f t="shared" si="3"/>
        <v>433.88</v>
      </c>
      <c r="L26" s="25">
        <v>0</v>
      </c>
      <c r="M26" s="25">
        <v>138.4</v>
      </c>
      <c r="N26" s="25">
        <v>0</v>
      </c>
      <c r="O26" s="25">
        <v>21.86</v>
      </c>
      <c r="P26" s="26">
        <v>0</v>
      </c>
      <c r="Q26" s="25">
        <v>20.239999999999998</v>
      </c>
      <c r="R26" s="25">
        <v>29.38</v>
      </c>
      <c r="S26" s="25">
        <v>116.42</v>
      </c>
      <c r="T26" s="25">
        <v>0.97</v>
      </c>
      <c r="U26" s="20">
        <v>0</v>
      </c>
      <c r="V26" s="25">
        <v>3.11</v>
      </c>
      <c r="W26" s="25">
        <v>0.35</v>
      </c>
      <c r="X26" s="20">
        <f t="shared" si="4"/>
        <v>132.06</v>
      </c>
      <c r="Y26" s="27">
        <v>101.43</v>
      </c>
      <c r="Z26" s="25"/>
      <c r="AA26" s="25"/>
      <c r="AB26" s="20">
        <f t="shared" si="5"/>
        <v>30.63</v>
      </c>
      <c r="AC26" s="25">
        <v>0</v>
      </c>
      <c r="AD26" s="25">
        <v>105.49</v>
      </c>
      <c r="AE26" s="20">
        <f t="shared" si="6"/>
        <v>100208.4</v>
      </c>
      <c r="AF26" s="25">
        <f>517.9</f>
        <v>517.9</v>
      </c>
      <c r="AG26" s="237">
        <f>ROUND(AE26+AE27+AE28+AF26,1)</f>
        <v>103646.6</v>
      </c>
      <c r="AH26" s="47">
        <f t="shared" si="7"/>
        <v>83029.039800000013</v>
      </c>
      <c r="AI26" s="55">
        <v>83641.238159999979</v>
      </c>
      <c r="AJ26" s="6"/>
      <c r="AK26" s="55">
        <f>ROUND(AG26/1000,1)</f>
        <v>103.6</v>
      </c>
      <c r="AM26" s="8"/>
    </row>
    <row r="27" spans="1:39" s="1" customFormat="1" ht="63" x14ac:dyDescent="0.25">
      <c r="A27" s="16" t="s">
        <v>48</v>
      </c>
      <c r="B27" s="17" t="s">
        <v>50</v>
      </c>
      <c r="C27" s="17" t="s">
        <v>40</v>
      </c>
      <c r="D27" s="18" t="s">
        <v>38</v>
      </c>
      <c r="E27" s="19">
        <v>316</v>
      </c>
      <c r="F27" s="20">
        <f t="shared" si="1"/>
        <v>4339.8959999999997</v>
      </c>
      <c r="G27" s="20">
        <f t="shared" si="2"/>
        <v>3526.92</v>
      </c>
      <c r="H27" s="20">
        <v>2708.85</v>
      </c>
      <c r="I27" s="25"/>
      <c r="J27" s="25"/>
      <c r="K27" s="20">
        <f t="shared" si="3"/>
        <v>818.07</v>
      </c>
      <c r="L27" s="25">
        <v>0</v>
      </c>
      <c r="M27" s="25">
        <v>397.65</v>
      </c>
      <c r="N27" s="25">
        <v>0</v>
      </c>
      <c r="O27" s="25">
        <v>55.63</v>
      </c>
      <c r="P27" s="26">
        <v>0</v>
      </c>
      <c r="Q27" s="25">
        <v>2.8</v>
      </c>
      <c r="R27" s="25">
        <v>74.040000000000006</v>
      </c>
      <c r="S27" s="25">
        <v>21.67</v>
      </c>
      <c r="T27" s="25">
        <v>2.35</v>
      </c>
      <c r="U27" s="20">
        <v>0</v>
      </c>
      <c r="V27" s="25">
        <v>6.52</v>
      </c>
      <c r="W27" s="25">
        <v>0.74</v>
      </c>
      <c r="X27" s="20">
        <f t="shared" si="4"/>
        <v>112.05999999999999</v>
      </c>
      <c r="Y27" s="27">
        <v>86.07</v>
      </c>
      <c r="Z27" s="25"/>
      <c r="AA27" s="25"/>
      <c r="AB27" s="20">
        <f t="shared" si="5"/>
        <v>25.99</v>
      </c>
      <c r="AC27" s="25">
        <v>0</v>
      </c>
      <c r="AD27" s="25">
        <v>195.14599999999999</v>
      </c>
      <c r="AE27" s="20">
        <f t="shared" si="6"/>
        <v>1371.4</v>
      </c>
      <c r="AF27" s="25">
        <v>0</v>
      </c>
      <c r="AG27" s="237"/>
      <c r="AH27" s="47">
        <f t="shared" si="7"/>
        <v>1149.91768</v>
      </c>
      <c r="AI27" s="55">
        <v>1158.4038600000001</v>
      </c>
      <c r="AJ27" s="6"/>
      <c r="AK27" s="7"/>
      <c r="AM27" s="8"/>
    </row>
    <row r="28" spans="1:39" s="1" customFormat="1" ht="78.75" x14ac:dyDescent="0.25">
      <c r="A28" s="16" t="s">
        <v>48</v>
      </c>
      <c r="B28" s="17" t="s">
        <v>41</v>
      </c>
      <c r="C28" s="24" t="s">
        <v>42</v>
      </c>
      <c r="D28" s="28" t="s">
        <v>38</v>
      </c>
      <c r="E28" s="19">
        <v>18</v>
      </c>
      <c r="F28" s="20">
        <f t="shared" si="1"/>
        <v>86052.736000000004</v>
      </c>
      <c r="G28" s="20">
        <f t="shared" si="2"/>
        <v>81521.960000000006</v>
      </c>
      <c r="H28" s="20">
        <v>62612.87</v>
      </c>
      <c r="I28" s="20"/>
      <c r="J28" s="20"/>
      <c r="K28" s="20">
        <f t="shared" si="3"/>
        <v>18909.09</v>
      </c>
      <c r="L28" s="20">
        <v>0</v>
      </c>
      <c r="M28" s="20">
        <v>398.91</v>
      </c>
      <c r="N28" s="20">
        <v>0</v>
      </c>
      <c r="O28" s="20">
        <v>398.91</v>
      </c>
      <c r="P28" s="20">
        <v>0</v>
      </c>
      <c r="Q28" s="20">
        <v>3759.9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48.26</v>
      </c>
      <c r="X28" s="20">
        <f t="shared" si="4"/>
        <v>0</v>
      </c>
      <c r="Y28" s="20">
        <v>0</v>
      </c>
      <c r="Z28" s="20"/>
      <c r="AA28" s="20"/>
      <c r="AB28" s="20">
        <f t="shared" si="5"/>
        <v>0</v>
      </c>
      <c r="AC28" s="25">
        <v>0</v>
      </c>
      <c r="AD28" s="25">
        <v>323.70600000000002</v>
      </c>
      <c r="AE28" s="20">
        <f t="shared" si="6"/>
        <v>1548.9</v>
      </c>
      <c r="AF28" s="20">
        <v>0</v>
      </c>
      <c r="AG28" s="237"/>
      <c r="AH28" s="47">
        <f t="shared" si="7"/>
        <v>1467.39528</v>
      </c>
      <c r="AI28" s="55">
        <v>1478.2159080000001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30414</v>
      </c>
      <c r="F29" s="20">
        <f t="shared" si="1"/>
        <v>3296.6280000000002</v>
      </c>
      <c r="G29" s="20">
        <f t="shared" si="2"/>
        <v>2081.3000000000002</v>
      </c>
      <c r="H29" s="20">
        <v>1598.54</v>
      </c>
      <c r="I29" s="30"/>
      <c r="J29" s="30"/>
      <c r="K29" s="20">
        <f t="shared" si="3"/>
        <v>482.76</v>
      </c>
      <c r="L29" s="30">
        <v>0</v>
      </c>
      <c r="M29" s="21">
        <v>237.83</v>
      </c>
      <c r="N29" s="30">
        <v>0</v>
      </c>
      <c r="O29" s="30">
        <v>72.3</v>
      </c>
      <c r="P29" s="26">
        <v>0</v>
      </c>
      <c r="Q29" s="30">
        <v>154.91</v>
      </c>
      <c r="R29" s="30">
        <v>107.74</v>
      </c>
      <c r="S29" s="30">
        <v>94.26</v>
      </c>
      <c r="T29" s="30">
        <v>65.02</v>
      </c>
      <c r="U29" s="20">
        <v>0</v>
      </c>
      <c r="V29" s="30">
        <v>30.03</v>
      </c>
      <c r="W29" s="30">
        <v>0</v>
      </c>
      <c r="X29" s="20">
        <f t="shared" si="4"/>
        <v>373.7</v>
      </c>
      <c r="Y29" s="27">
        <v>287.02</v>
      </c>
      <c r="Z29" s="30"/>
      <c r="AA29" s="30"/>
      <c r="AB29" s="20">
        <f t="shared" si="5"/>
        <v>86.68</v>
      </c>
      <c r="AC29" s="25">
        <v>0</v>
      </c>
      <c r="AD29" s="25">
        <v>151.83799999999999</v>
      </c>
      <c r="AE29" s="20">
        <f t="shared" si="6"/>
        <v>100263.6</v>
      </c>
      <c r="AF29" s="31">
        <v>538.6</v>
      </c>
      <c r="AG29" s="237">
        <f>ROUND(AE29+AE30+AE31+AF29,1)</f>
        <v>102661.6</v>
      </c>
      <c r="AH29" s="47">
        <f t="shared" si="7"/>
        <v>74666.37</v>
      </c>
      <c r="AI29" s="55">
        <v>75217.045884000006</v>
      </c>
      <c r="AJ29" s="6"/>
      <c r="AK29" s="55">
        <f>ROUND(AG29/1000,1)</f>
        <v>102.7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121</v>
      </c>
      <c r="F30" s="20">
        <f t="shared" si="1"/>
        <v>10496.749</v>
      </c>
      <c r="G30" s="20">
        <f t="shared" si="2"/>
        <v>6185.37</v>
      </c>
      <c r="H30" s="20">
        <v>4750.67</v>
      </c>
      <c r="I30" s="30"/>
      <c r="J30" s="30"/>
      <c r="K30" s="20">
        <f t="shared" si="3"/>
        <v>1434.7</v>
      </c>
      <c r="L30" s="30">
        <v>0</v>
      </c>
      <c r="M30" s="30">
        <v>739.17</v>
      </c>
      <c r="N30" s="30">
        <v>0</v>
      </c>
      <c r="O30" s="30">
        <v>630.9</v>
      </c>
      <c r="P30" s="26">
        <v>0</v>
      </c>
      <c r="Q30" s="30">
        <v>48.85</v>
      </c>
      <c r="R30" s="30">
        <v>191.98</v>
      </c>
      <c r="S30" s="30">
        <v>407.04</v>
      </c>
      <c r="T30" s="30">
        <v>391.67</v>
      </c>
      <c r="U30" s="20">
        <v>0</v>
      </c>
      <c r="V30" s="30">
        <v>230.38</v>
      </c>
      <c r="W30" s="30">
        <v>0</v>
      </c>
      <c r="X30" s="20">
        <f t="shared" si="4"/>
        <v>1690.07</v>
      </c>
      <c r="Y30" s="27">
        <v>1298.06</v>
      </c>
      <c r="Z30" s="30"/>
      <c r="AA30" s="30"/>
      <c r="AB30" s="20">
        <f t="shared" si="5"/>
        <v>392.01</v>
      </c>
      <c r="AC30" s="25">
        <v>0</v>
      </c>
      <c r="AD30" s="25">
        <v>612.21900000000005</v>
      </c>
      <c r="AE30" s="20">
        <f t="shared" si="6"/>
        <v>1270.0999999999999</v>
      </c>
      <c r="AF30" s="31">
        <v>0</v>
      </c>
      <c r="AG30" s="237"/>
      <c r="AH30" s="47">
        <f t="shared" si="7"/>
        <v>952.92823999999996</v>
      </c>
      <c r="AI30" s="55">
        <v>959.95458900000006</v>
      </c>
      <c r="AJ30" s="6"/>
      <c r="AK30" s="7"/>
      <c r="AM30" s="8"/>
    </row>
    <row r="31" spans="1:39" s="1" customFormat="1" ht="78.75" x14ac:dyDescent="0.25">
      <c r="A31" s="23" t="s">
        <v>51</v>
      </c>
      <c r="B31" s="17" t="s">
        <v>41</v>
      </c>
      <c r="C31" s="24" t="s">
        <v>42</v>
      </c>
      <c r="D31" s="28" t="s">
        <v>38</v>
      </c>
      <c r="E31" s="19">
        <v>2</v>
      </c>
      <c r="F31" s="20">
        <f t="shared" si="1"/>
        <v>294650.86200000002</v>
      </c>
      <c r="G31" s="20">
        <f t="shared" si="2"/>
        <v>162434.49</v>
      </c>
      <c r="H31" s="20">
        <v>124757.67</v>
      </c>
      <c r="I31" s="20">
        <v>0</v>
      </c>
      <c r="J31" s="20">
        <v>0</v>
      </c>
      <c r="K31" s="20">
        <f t="shared" si="3"/>
        <v>37676.82</v>
      </c>
      <c r="L31" s="20">
        <v>0</v>
      </c>
      <c r="M31" s="20">
        <v>28604.5</v>
      </c>
      <c r="N31" s="20">
        <v>0</v>
      </c>
      <c r="O31" s="20">
        <v>7094.16</v>
      </c>
      <c r="P31" s="20">
        <v>0</v>
      </c>
      <c r="Q31" s="20">
        <v>13086.7</v>
      </c>
      <c r="R31" s="20">
        <v>14976.93</v>
      </c>
      <c r="S31" s="20">
        <v>3013</v>
      </c>
      <c r="T31" s="20">
        <v>6332.34</v>
      </c>
      <c r="U31" s="20">
        <v>0</v>
      </c>
      <c r="V31" s="20">
        <v>4430.16</v>
      </c>
      <c r="W31" s="20">
        <v>0</v>
      </c>
      <c r="X31" s="20">
        <f t="shared" si="4"/>
        <v>34540.840000000004</v>
      </c>
      <c r="Y31" s="20">
        <v>26529.06</v>
      </c>
      <c r="Z31" s="20">
        <v>0</v>
      </c>
      <c r="AA31" s="20">
        <v>0</v>
      </c>
      <c r="AB31" s="20">
        <f t="shared" si="5"/>
        <v>8011.78</v>
      </c>
      <c r="AC31" s="25">
        <v>0</v>
      </c>
      <c r="AD31" s="25">
        <v>27231.901999999998</v>
      </c>
      <c r="AE31" s="20">
        <f t="shared" si="6"/>
        <v>589.29999999999995</v>
      </c>
      <c r="AF31" s="20">
        <v>0</v>
      </c>
      <c r="AG31" s="237"/>
      <c r="AH31" s="47">
        <f t="shared" si="7"/>
        <v>393.95065999999997</v>
      </c>
      <c r="AI31" s="55">
        <v>396.85567599999996</v>
      </c>
      <c r="AJ31" s="6"/>
      <c r="AK31" s="7"/>
      <c r="AM31" s="8"/>
    </row>
    <row r="32" spans="1:39" s="1" customFormat="1" ht="94.5" x14ac:dyDescent="0.25">
      <c r="A32" s="16" t="s">
        <v>52</v>
      </c>
      <c r="B32" s="17" t="s">
        <v>36</v>
      </c>
      <c r="C32" s="17" t="s">
        <v>37</v>
      </c>
      <c r="D32" s="17" t="s">
        <v>53</v>
      </c>
      <c r="E32" s="19">
        <v>211</v>
      </c>
      <c r="F32" s="20">
        <f t="shared" si="1"/>
        <v>5496.2269999999999</v>
      </c>
      <c r="G32" s="20">
        <f t="shared" si="2"/>
        <v>2553.63</v>
      </c>
      <c r="H32" s="20">
        <v>1961.31</v>
      </c>
      <c r="I32" s="20">
        <v>0</v>
      </c>
      <c r="J32" s="20">
        <v>0</v>
      </c>
      <c r="K32" s="20">
        <f t="shared" si="3"/>
        <v>592.32000000000005</v>
      </c>
      <c r="L32" s="20">
        <v>0</v>
      </c>
      <c r="M32" s="20">
        <v>382.31</v>
      </c>
      <c r="N32" s="20">
        <v>0</v>
      </c>
      <c r="O32" s="20">
        <v>0</v>
      </c>
      <c r="P32" s="32">
        <v>0</v>
      </c>
      <c r="Q32" s="20">
        <v>1005.02</v>
      </c>
      <c r="R32" s="20">
        <v>26.6</v>
      </c>
      <c r="S32" s="20">
        <v>0</v>
      </c>
      <c r="T32" s="20">
        <v>0</v>
      </c>
      <c r="U32" s="20">
        <v>0</v>
      </c>
      <c r="V32" s="20">
        <v>38.67</v>
      </c>
      <c r="W32" s="20">
        <v>34.630000000000003</v>
      </c>
      <c r="X32" s="20">
        <f t="shared" si="4"/>
        <v>1133.22</v>
      </c>
      <c r="Y32" s="27">
        <v>870.37</v>
      </c>
      <c r="Z32" s="20">
        <v>0</v>
      </c>
      <c r="AA32" s="20">
        <v>0</v>
      </c>
      <c r="AB32" s="20">
        <f t="shared" si="5"/>
        <v>262.85000000000002</v>
      </c>
      <c r="AC32" s="20">
        <v>0</v>
      </c>
      <c r="AD32" s="20">
        <v>322.14699999999999</v>
      </c>
      <c r="AE32" s="20">
        <f t="shared" si="6"/>
        <v>1159.7</v>
      </c>
      <c r="AF32" s="25">
        <v>295.8</v>
      </c>
      <c r="AG32" s="237">
        <f>ROUND(AE32+AE33+AF32,1)</f>
        <v>8818.9</v>
      </c>
      <c r="AH32" s="47">
        <f t="shared" si="7"/>
        <v>777.92535000000009</v>
      </c>
      <c r="AI32" s="55">
        <v>783.66117399999996</v>
      </c>
      <c r="AJ32" s="6"/>
      <c r="AK32" s="55">
        <f>ROUND(AG32/1000,1)</f>
        <v>8.8000000000000007</v>
      </c>
      <c r="AM32" s="8"/>
    </row>
    <row r="33" spans="1:39" s="1" customFormat="1" ht="78.75" x14ac:dyDescent="0.25">
      <c r="A33" s="16" t="s">
        <v>52</v>
      </c>
      <c r="B33" s="17" t="s">
        <v>39</v>
      </c>
      <c r="C33" s="17" t="s">
        <v>40</v>
      </c>
      <c r="D33" s="17" t="s">
        <v>53</v>
      </c>
      <c r="E33" s="19">
        <v>62</v>
      </c>
      <c r="F33" s="20">
        <f t="shared" si="1"/>
        <v>118765.01199999997</v>
      </c>
      <c r="G33" s="20">
        <f t="shared" si="2"/>
        <v>36611.509999999995</v>
      </c>
      <c r="H33" s="20">
        <v>28119.439999999999</v>
      </c>
      <c r="I33" s="20">
        <v>0</v>
      </c>
      <c r="J33" s="20">
        <v>0</v>
      </c>
      <c r="K33" s="20">
        <f t="shared" si="3"/>
        <v>8492.07</v>
      </c>
      <c r="L33" s="20">
        <v>0</v>
      </c>
      <c r="M33" s="20">
        <v>100.06</v>
      </c>
      <c r="N33" s="20">
        <v>0</v>
      </c>
      <c r="O33" s="20">
        <v>0</v>
      </c>
      <c r="P33" s="32">
        <v>0</v>
      </c>
      <c r="Q33" s="20">
        <v>3029.65</v>
      </c>
      <c r="R33" s="20">
        <v>1449.89</v>
      </c>
      <c r="S33" s="20">
        <v>38545.279999999999</v>
      </c>
      <c r="T33" s="20">
        <v>26478.15</v>
      </c>
      <c r="U33" s="20">
        <v>0</v>
      </c>
      <c r="V33" s="20">
        <v>3188.47</v>
      </c>
      <c r="W33" s="20">
        <v>270.01</v>
      </c>
      <c r="X33" s="20">
        <f t="shared" si="4"/>
        <v>8974.5300000000007</v>
      </c>
      <c r="Y33" s="27">
        <v>6892.88</v>
      </c>
      <c r="Z33" s="20">
        <v>0</v>
      </c>
      <c r="AA33" s="20">
        <v>0</v>
      </c>
      <c r="AB33" s="20">
        <f t="shared" si="5"/>
        <v>2081.65</v>
      </c>
      <c r="AC33" s="20">
        <v>0</v>
      </c>
      <c r="AD33" s="20">
        <v>117.462</v>
      </c>
      <c r="AE33" s="20">
        <f t="shared" si="6"/>
        <v>7363.4</v>
      </c>
      <c r="AF33" s="25">
        <v>0</v>
      </c>
      <c r="AG33" s="237"/>
      <c r="AH33" s="47">
        <f t="shared" si="7"/>
        <v>2826.3344799999995</v>
      </c>
      <c r="AI33" s="55">
        <v>2847.175718</v>
      </c>
      <c r="AJ33" s="6"/>
      <c r="AK33" s="7"/>
      <c r="AM33" s="8"/>
    </row>
    <row r="34" spans="1:39" s="1" customFormat="1" ht="78.75" x14ac:dyDescent="0.25">
      <c r="A34" s="16" t="s">
        <v>54</v>
      </c>
      <c r="B34" s="17" t="s">
        <v>49</v>
      </c>
      <c r="C34" s="17" t="s">
        <v>37</v>
      </c>
      <c r="D34" s="17" t="s">
        <v>45</v>
      </c>
      <c r="E34" s="19">
        <v>2037</v>
      </c>
      <c r="F34" s="20">
        <f t="shared" si="1"/>
        <v>2024.4480000000001</v>
      </c>
      <c r="G34" s="20">
        <f t="shared" si="2"/>
        <v>732.80000000000007</v>
      </c>
      <c r="H34" s="20">
        <v>562.83000000000004</v>
      </c>
      <c r="I34" s="25">
        <v>0</v>
      </c>
      <c r="J34" s="25">
        <v>0</v>
      </c>
      <c r="K34" s="20">
        <f t="shared" si="3"/>
        <v>169.97</v>
      </c>
      <c r="L34" s="25">
        <v>0</v>
      </c>
      <c r="M34" s="25">
        <v>89.28</v>
      </c>
      <c r="N34" s="25">
        <v>0</v>
      </c>
      <c r="O34" s="25">
        <v>0</v>
      </c>
      <c r="P34" s="26">
        <v>0</v>
      </c>
      <c r="Q34" s="25">
        <v>82.67</v>
      </c>
      <c r="R34" s="25">
        <v>45.01</v>
      </c>
      <c r="S34" s="25">
        <v>77.02</v>
      </c>
      <c r="T34" s="25">
        <v>343.43</v>
      </c>
      <c r="U34" s="20">
        <v>0</v>
      </c>
      <c r="V34" s="27">
        <v>13.64</v>
      </c>
      <c r="W34" s="27">
        <v>3.58</v>
      </c>
      <c r="X34" s="20">
        <f t="shared" si="4"/>
        <v>464.06</v>
      </c>
      <c r="Y34" s="27">
        <v>356.42</v>
      </c>
      <c r="Z34" s="27">
        <v>0</v>
      </c>
      <c r="AA34" s="27">
        <v>0</v>
      </c>
      <c r="AB34" s="20">
        <f t="shared" si="5"/>
        <v>107.64</v>
      </c>
      <c r="AC34" s="25">
        <v>0</v>
      </c>
      <c r="AD34" s="25">
        <v>172.958</v>
      </c>
      <c r="AE34" s="20">
        <f t="shared" si="6"/>
        <v>4123.8</v>
      </c>
      <c r="AF34" s="25">
        <v>276.2</v>
      </c>
      <c r="AG34" s="237">
        <f>ROUND(AE34+AE35+AF34,1)</f>
        <v>4959.7</v>
      </c>
      <c r="AH34" s="47">
        <f t="shared" si="7"/>
        <v>2438.0038200000004</v>
      </c>
      <c r="AI34" s="55">
        <v>2455.994604</v>
      </c>
      <c r="AJ34" s="6"/>
      <c r="AK34" s="55">
        <f>ROUND(AG34/1000,1)</f>
        <v>5</v>
      </c>
      <c r="AM34" s="8"/>
    </row>
    <row r="35" spans="1:39" s="1" customFormat="1" ht="63" x14ac:dyDescent="0.25">
      <c r="A35" s="16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55971.62</v>
      </c>
      <c r="G35" s="20">
        <f t="shared" si="2"/>
        <v>25641.02</v>
      </c>
      <c r="H35" s="20">
        <v>19693.560000000001</v>
      </c>
      <c r="I35" s="25">
        <v>0</v>
      </c>
      <c r="J35" s="25">
        <v>0</v>
      </c>
      <c r="K35" s="20">
        <f t="shared" si="3"/>
        <v>5947.46</v>
      </c>
      <c r="L35" s="25">
        <v>0</v>
      </c>
      <c r="M35" s="25">
        <v>737.95</v>
      </c>
      <c r="N35" s="25">
        <v>0</v>
      </c>
      <c r="O35" s="25">
        <v>688.69</v>
      </c>
      <c r="P35" s="26">
        <v>0</v>
      </c>
      <c r="Q35" s="25">
        <v>1499.47</v>
      </c>
      <c r="R35" s="25">
        <v>1784.35</v>
      </c>
      <c r="S35" s="25">
        <v>2852.63</v>
      </c>
      <c r="T35" s="25">
        <v>8084.49</v>
      </c>
      <c r="U35" s="20">
        <v>0</v>
      </c>
      <c r="V35" s="27">
        <v>1636.11</v>
      </c>
      <c r="W35" s="27">
        <v>1044.27</v>
      </c>
      <c r="X35" s="20">
        <f t="shared" si="4"/>
        <v>10118.57</v>
      </c>
      <c r="Y35" s="27">
        <v>7771.56</v>
      </c>
      <c r="Z35" s="27">
        <v>0</v>
      </c>
      <c r="AA35" s="27">
        <v>0</v>
      </c>
      <c r="AB35" s="20">
        <f t="shared" si="5"/>
        <v>2347.0100000000002</v>
      </c>
      <c r="AC35" s="25">
        <v>0</v>
      </c>
      <c r="AD35" s="25">
        <v>2572.7600000000002</v>
      </c>
      <c r="AE35" s="20">
        <f t="shared" si="6"/>
        <v>559.70000000000005</v>
      </c>
      <c r="AF35" s="27">
        <v>0</v>
      </c>
      <c r="AG35" s="237"/>
      <c r="AH35" s="47">
        <f t="shared" si="7"/>
        <v>357.59589999999997</v>
      </c>
      <c r="AI35" s="55">
        <v>360.23282</v>
      </c>
      <c r="AJ35" s="6"/>
      <c r="AK35" s="7"/>
      <c r="AM35" s="8"/>
    </row>
    <row r="36" spans="1:39" s="1" customFormat="1" ht="94.5" x14ac:dyDescent="0.25">
      <c r="A36" s="16" t="s">
        <v>55</v>
      </c>
      <c r="B36" s="17" t="s">
        <v>56</v>
      </c>
      <c r="C36" s="17" t="s">
        <v>37</v>
      </c>
      <c r="D36" s="18" t="s">
        <v>53</v>
      </c>
      <c r="E36" s="19">
        <v>3627</v>
      </c>
      <c r="F36" s="20">
        <f t="shared" si="1"/>
        <v>2532.0879999999997</v>
      </c>
      <c r="G36" s="20">
        <f t="shared" si="2"/>
        <v>980.82</v>
      </c>
      <c r="H36" s="20">
        <v>753.32</v>
      </c>
      <c r="I36" s="25"/>
      <c r="J36" s="25"/>
      <c r="K36" s="20">
        <f t="shared" si="3"/>
        <v>227.5</v>
      </c>
      <c r="L36" s="25">
        <v>0</v>
      </c>
      <c r="M36" s="25">
        <v>561.79999999999995</v>
      </c>
      <c r="N36" s="25">
        <v>0</v>
      </c>
      <c r="O36" s="25">
        <v>44.97</v>
      </c>
      <c r="P36" s="26">
        <v>0</v>
      </c>
      <c r="Q36" s="25">
        <v>83.59</v>
      </c>
      <c r="R36" s="25">
        <v>148.34</v>
      </c>
      <c r="S36" s="25">
        <v>42.8</v>
      </c>
      <c r="T36" s="25">
        <v>45.49</v>
      </c>
      <c r="U36" s="20">
        <v>0</v>
      </c>
      <c r="V36" s="25">
        <v>8.14</v>
      </c>
      <c r="W36" s="25">
        <v>0</v>
      </c>
      <c r="X36" s="20">
        <f t="shared" si="4"/>
        <v>605.08000000000004</v>
      </c>
      <c r="Y36" s="27">
        <v>464.68</v>
      </c>
      <c r="Z36" s="25"/>
      <c r="AA36" s="25"/>
      <c r="AB36" s="20">
        <f t="shared" si="5"/>
        <v>140.33000000000001</v>
      </c>
      <c r="AC36" s="25">
        <v>7.0000000000000007E-2</v>
      </c>
      <c r="AD36" s="25">
        <v>56.027999999999999</v>
      </c>
      <c r="AE36" s="20">
        <f t="shared" si="6"/>
        <v>9183.9</v>
      </c>
      <c r="AF36" s="25">
        <v>97.4</v>
      </c>
      <c r="AG36" s="237">
        <f>ROUND(AE36+AE37+AF36,1)</f>
        <v>10217.799999999999</v>
      </c>
      <c r="AH36" s="47">
        <f t="shared" si="7"/>
        <v>5752.0593000000008</v>
      </c>
      <c r="AI36" s="55">
        <v>5794.4761884579329</v>
      </c>
      <c r="AJ36" s="6"/>
      <c r="AK36" s="55">
        <f>ROUND(AG36/1000,1)</f>
        <v>10.199999999999999</v>
      </c>
      <c r="AM36" s="8"/>
    </row>
    <row r="37" spans="1:39" s="1" customFormat="1" ht="78.75" x14ac:dyDescent="0.25">
      <c r="A37" s="16" t="s">
        <v>55</v>
      </c>
      <c r="B37" s="33" t="s">
        <v>57</v>
      </c>
      <c r="C37" s="17" t="s">
        <v>40</v>
      </c>
      <c r="D37" s="18" t="s">
        <v>45</v>
      </c>
      <c r="E37" s="19">
        <v>51</v>
      </c>
      <c r="F37" s="20">
        <f t="shared" si="1"/>
        <v>18361.863000000001</v>
      </c>
      <c r="G37" s="20">
        <f t="shared" si="2"/>
        <v>6836.62</v>
      </c>
      <c r="H37" s="20">
        <v>5250.86</v>
      </c>
      <c r="I37" s="25"/>
      <c r="J37" s="25"/>
      <c r="K37" s="20">
        <f t="shared" si="3"/>
        <v>1585.76</v>
      </c>
      <c r="L37" s="25">
        <v>0</v>
      </c>
      <c r="M37" s="25">
        <v>484.29</v>
      </c>
      <c r="N37" s="25">
        <v>0</v>
      </c>
      <c r="O37" s="25">
        <v>266.63</v>
      </c>
      <c r="P37" s="26">
        <v>0</v>
      </c>
      <c r="Q37" s="25">
        <v>20.49</v>
      </c>
      <c r="R37" s="25">
        <v>178.32</v>
      </c>
      <c r="S37" s="25">
        <v>716.61</v>
      </c>
      <c r="T37" s="25">
        <v>114.32</v>
      </c>
      <c r="U37" s="20">
        <v>0</v>
      </c>
      <c r="V37" s="25">
        <v>48.22</v>
      </c>
      <c r="W37" s="25">
        <v>0</v>
      </c>
      <c r="X37" s="20">
        <f t="shared" si="4"/>
        <v>9566.0800000000017</v>
      </c>
      <c r="Y37" s="27">
        <v>7346.68</v>
      </c>
      <c r="Z37" s="25"/>
      <c r="AA37" s="25"/>
      <c r="AB37" s="20">
        <f t="shared" si="5"/>
        <v>2218.6999999999998</v>
      </c>
      <c r="AC37" s="25">
        <v>0.7</v>
      </c>
      <c r="AD37" s="25">
        <v>396.91300000000001</v>
      </c>
      <c r="AE37" s="20">
        <f t="shared" si="6"/>
        <v>936.5</v>
      </c>
      <c r="AF37" s="25">
        <v>0</v>
      </c>
      <c r="AG37" s="237"/>
      <c r="AH37" s="47">
        <f t="shared" si="7"/>
        <v>836.53770000000009</v>
      </c>
      <c r="AI37" s="55">
        <v>842.70648789218319</v>
      </c>
      <c r="AJ37" s="6"/>
      <c r="AK37" s="7"/>
      <c r="AM37" s="8"/>
    </row>
    <row r="38" spans="1:39" s="1" customFormat="1" ht="78.75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30</v>
      </c>
      <c r="F38" s="20">
        <f t="shared" si="1"/>
        <v>97541.053999999989</v>
      </c>
      <c r="G38" s="20">
        <f t="shared" si="2"/>
        <v>48510.09</v>
      </c>
      <c r="H38" s="20">
        <v>37258.129999999997</v>
      </c>
      <c r="I38" s="25">
        <v>0</v>
      </c>
      <c r="J38" s="25">
        <v>0</v>
      </c>
      <c r="K38" s="20">
        <f t="shared" si="3"/>
        <v>11251.96</v>
      </c>
      <c r="L38" s="25">
        <v>0</v>
      </c>
      <c r="M38" s="25">
        <v>5118.01</v>
      </c>
      <c r="N38" s="25">
        <v>3259.87</v>
      </c>
      <c r="O38" s="25">
        <v>1059.47</v>
      </c>
      <c r="P38" s="25">
        <v>0</v>
      </c>
      <c r="Q38" s="25">
        <v>1206.1600000000001</v>
      </c>
      <c r="R38" s="25">
        <v>9684.6200000000008</v>
      </c>
      <c r="S38" s="25">
        <v>2884.98</v>
      </c>
      <c r="T38" s="25">
        <v>977.96</v>
      </c>
      <c r="U38" s="20">
        <v>0</v>
      </c>
      <c r="V38" s="25">
        <v>3540.23</v>
      </c>
      <c r="W38" s="25">
        <v>0</v>
      </c>
      <c r="X38" s="20">
        <f t="shared" si="4"/>
        <v>22754.35</v>
      </c>
      <c r="Y38" s="27">
        <v>17476.46</v>
      </c>
      <c r="Z38" s="25"/>
      <c r="AA38" s="25"/>
      <c r="AB38" s="20">
        <f t="shared" si="5"/>
        <v>5277.89</v>
      </c>
      <c r="AC38" s="25">
        <v>0</v>
      </c>
      <c r="AD38" s="25">
        <v>2864.654</v>
      </c>
      <c r="AE38" s="20">
        <f t="shared" si="6"/>
        <v>2926.2</v>
      </c>
      <c r="AF38" s="20">
        <v>164.4</v>
      </c>
      <c r="AG38" s="37">
        <f>ROUND(AE38+AF38,1)</f>
        <v>3090.6</v>
      </c>
      <c r="AH38" s="47">
        <f t="shared" si="7"/>
        <v>2137.9332000000004</v>
      </c>
      <c r="AI38" s="55">
        <v>2153.6983500000001</v>
      </c>
      <c r="AJ38" s="6"/>
      <c r="AK38" s="55">
        <f>ROUND(AG38/1000,1)</f>
        <v>3.1</v>
      </c>
      <c r="AM38" s="8"/>
    </row>
    <row r="39" spans="1:39" s="1" customFormat="1" ht="78.75" x14ac:dyDescent="0.25">
      <c r="A39" s="16" t="s">
        <v>59</v>
      </c>
      <c r="B39" s="17" t="s">
        <v>39</v>
      </c>
      <c r="C39" s="17" t="s">
        <v>40</v>
      </c>
      <c r="D39" s="17" t="s">
        <v>45</v>
      </c>
      <c r="E39" s="19">
        <v>17</v>
      </c>
      <c r="F39" s="20">
        <f t="shared" si="1"/>
        <v>80190.081000000006</v>
      </c>
      <c r="G39" s="20">
        <f t="shared" si="2"/>
        <v>50810.66</v>
      </c>
      <c r="H39" s="20">
        <v>38585.78</v>
      </c>
      <c r="I39" s="25"/>
      <c r="J39" s="25"/>
      <c r="K39" s="20">
        <f t="shared" si="3"/>
        <v>11652.91</v>
      </c>
      <c r="L39" s="25">
        <v>571.97</v>
      </c>
      <c r="M39" s="25">
        <v>380.96</v>
      </c>
      <c r="N39" s="25">
        <v>0</v>
      </c>
      <c r="O39" s="25">
        <v>29.9</v>
      </c>
      <c r="P39" s="26">
        <v>0</v>
      </c>
      <c r="Q39" s="25">
        <v>0</v>
      </c>
      <c r="R39" s="25">
        <v>1333.64</v>
      </c>
      <c r="S39" s="25">
        <v>12771.28</v>
      </c>
      <c r="T39" s="25">
        <v>1765.68</v>
      </c>
      <c r="U39" s="20">
        <v>0</v>
      </c>
      <c r="V39" s="25">
        <v>319.86</v>
      </c>
      <c r="W39" s="25">
        <v>0</v>
      </c>
      <c r="X39" s="20">
        <f t="shared" si="4"/>
        <v>10541.470000000001</v>
      </c>
      <c r="Y39" s="27">
        <v>7901.59</v>
      </c>
      <c r="Z39" s="25"/>
      <c r="AA39" s="25"/>
      <c r="AB39" s="20">
        <f t="shared" si="5"/>
        <v>2386.2800000000002</v>
      </c>
      <c r="AC39" s="25">
        <v>253.6</v>
      </c>
      <c r="AD39" s="25">
        <v>2266.5309999999999</v>
      </c>
      <c r="AE39" s="20">
        <f t="shared" si="6"/>
        <v>1363.2</v>
      </c>
      <c r="AF39" s="25">
        <v>165.4</v>
      </c>
      <c r="AG39" s="37">
        <f>ROUND(AE39+AF39,1)</f>
        <v>1528.6</v>
      </c>
      <c r="AH39" s="47">
        <f t="shared" si="7"/>
        <v>1042.98621</v>
      </c>
      <c r="AI39" s="55">
        <v>1050.6769948888889</v>
      </c>
      <c r="AJ39" s="6"/>
      <c r="AK39" s="55">
        <f>ROUND(AG39/1000,1)</f>
        <v>1.5</v>
      </c>
      <c r="AM39" s="8"/>
    </row>
    <row r="40" spans="1:39" s="1" customFormat="1" ht="94.5" x14ac:dyDescent="0.25">
      <c r="A40" s="238" t="s">
        <v>60</v>
      </c>
      <c r="B40" s="13" t="s">
        <v>61</v>
      </c>
      <c r="C40" s="13" t="s">
        <v>62</v>
      </c>
      <c r="D40" s="13" t="s">
        <v>45</v>
      </c>
      <c r="E40" s="19">
        <v>496</v>
      </c>
      <c r="F40" s="20">
        <f t="shared" si="1"/>
        <v>17102.309999999998</v>
      </c>
      <c r="G40" s="20">
        <f t="shared" si="2"/>
        <v>7070.2000000000007</v>
      </c>
      <c r="H40" s="20">
        <v>5430.26</v>
      </c>
      <c r="I40" s="20"/>
      <c r="J40" s="20"/>
      <c r="K40" s="20">
        <f t="shared" si="3"/>
        <v>1639.94</v>
      </c>
      <c r="L40" s="20">
        <v>0</v>
      </c>
      <c r="M40" s="20">
        <v>785.2</v>
      </c>
      <c r="N40" s="20">
        <v>0</v>
      </c>
      <c r="O40" s="20">
        <v>0</v>
      </c>
      <c r="P40" s="20">
        <v>0</v>
      </c>
      <c r="Q40" s="20">
        <v>257.02</v>
      </c>
      <c r="R40" s="20">
        <v>1007.95</v>
      </c>
      <c r="S40" s="20">
        <v>1125.78</v>
      </c>
      <c r="T40" s="20">
        <v>110.3</v>
      </c>
      <c r="U40" s="20">
        <v>0</v>
      </c>
      <c r="V40" s="20">
        <v>461.49</v>
      </c>
      <c r="W40" s="20">
        <v>2.31</v>
      </c>
      <c r="X40" s="20">
        <f t="shared" si="4"/>
        <v>5404.71</v>
      </c>
      <c r="Y40" s="27">
        <v>4151.08</v>
      </c>
      <c r="Z40" s="20"/>
      <c r="AA40" s="20"/>
      <c r="AB40" s="20">
        <f t="shared" si="5"/>
        <v>1253.6300000000001</v>
      </c>
      <c r="AC40" s="25">
        <v>0</v>
      </c>
      <c r="AD40" s="25">
        <v>877.35</v>
      </c>
      <c r="AE40" s="20">
        <f t="shared" si="6"/>
        <v>8482.7000000000007</v>
      </c>
      <c r="AF40" s="20">
        <v>4.0999999999999996</v>
      </c>
      <c r="AG40" s="237">
        <f>AE40+AF40+AE41+AF41</f>
        <v>19319.400000000001</v>
      </c>
      <c r="AH40" s="47">
        <f t="shared" si="7"/>
        <v>6187.5553600000003</v>
      </c>
      <c r="AI40" s="55">
        <v>6233.1774399999995</v>
      </c>
      <c r="AJ40" s="6">
        <f>AE40+AF40</f>
        <v>8486.8000000000011</v>
      </c>
      <c r="AK40" s="55">
        <f>ROUND(AJ40/1000,1)</f>
        <v>8.5</v>
      </c>
      <c r="AM40" s="8"/>
    </row>
    <row r="41" spans="1:39" s="1" customFormat="1" ht="141.75" x14ac:dyDescent="0.25">
      <c r="A41" s="239"/>
      <c r="B41" s="38" t="s">
        <v>63</v>
      </c>
      <c r="C41" s="39" t="s">
        <v>64</v>
      </c>
      <c r="D41" s="38" t="s">
        <v>65</v>
      </c>
      <c r="E41" s="40">
        <v>4734</v>
      </c>
      <c r="F41" s="41">
        <f t="shared" si="1"/>
        <v>2277.1160000000004</v>
      </c>
      <c r="G41" s="41">
        <f t="shared" si="2"/>
        <v>1138.8600000000001</v>
      </c>
      <c r="H41" s="41">
        <v>874.7</v>
      </c>
      <c r="I41" s="42"/>
      <c r="J41" s="41"/>
      <c r="K41" s="41">
        <f t="shared" si="3"/>
        <v>264.16000000000003</v>
      </c>
      <c r="L41" s="41">
        <v>0</v>
      </c>
      <c r="M41" s="42">
        <v>23.18</v>
      </c>
      <c r="N41" s="42">
        <v>0</v>
      </c>
      <c r="O41" s="42">
        <v>8.2100000000000009</v>
      </c>
      <c r="P41" s="42">
        <v>0</v>
      </c>
      <c r="Q41" s="42">
        <v>0</v>
      </c>
      <c r="R41" s="41">
        <v>10.75</v>
      </c>
      <c r="S41" s="42">
        <v>24.96</v>
      </c>
      <c r="T41" s="41">
        <v>43.95</v>
      </c>
      <c r="U41" s="41">
        <v>0</v>
      </c>
      <c r="V41" s="42">
        <v>31.72</v>
      </c>
      <c r="W41" s="41">
        <v>25.79</v>
      </c>
      <c r="X41" s="41">
        <f t="shared" si="4"/>
        <v>527.70000000000005</v>
      </c>
      <c r="Y41" s="43">
        <v>405.3</v>
      </c>
      <c r="Z41" s="42">
        <v>0</v>
      </c>
      <c r="AA41" s="41">
        <v>0</v>
      </c>
      <c r="AB41" s="41">
        <f t="shared" si="5"/>
        <v>122.4</v>
      </c>
      <c r="AC41" s="42">
        <v>0</v>
      </c>
      <c r="AD41" s="42">
        <v>450.20600000000002</v>
      </c>
      <c r="AE41" s="51">
        <f t="shared" si="6"/>
        <v>10779.9</v>
      </c>
      <c r="AF41" s="52">
        <v>52.7</v>
      </c>
      <c r="AG41" s="240"/>
      <c r="AH41" s="47">
        <f t="shared" si="7"/>
        <v>7889.4950400000007</v>
      </c>
      <c r="AI41" s="55">
        <v>7947.6948359999988</v>
      </c>
      <c r="AJ41" s="6">
        <f>AE41+AF41</f>
        <v>10832.6</v>
      </c>
      <c r="AK41" s="55">
        <f>ROUND(AJ41/1000,1)</f>
        <v>10.8</v>
      </c>
      <c r="AM41" s="8"/>
    </row>
    <row r="42" spans="1:39" ht="22.5" x14ac:dyDescent="0.25">
      <c r="A42" s="9" t="s">
        <v>70</v>
      </c>
      <c r="AE42" s="54">
        <f t="shared" ref="AE42:AG42" si="8">SUM(AE11:AE41)</f>
        <v>734414.39999999991</v>
      </c>
      <c r="AF42" s="54">
        <f t="shared" si="8"/>
        <v>4040.4</v>
      </c>
      <c r="AG42" s="53">
        <f t="shared" si="8"/>
        <v>738454.79999999993</v>
      </c>
      <c r="AH42" s="53">
        <f>SUM(AH11:AH41)</f>
        <v>553249.40003999975</v>
      </c>
      <c r="AI42" s="56">
        <v>557329100.26582909</v>
      </c>
    </row>
    <row r="43" spans="1:39" ht="20.25" x14ac:dyDescent="0.25">
      <c r="A43" s="9" t="s">
        <v>71</v>
      </c>
      <c r="AE43" s="4"/>
      <c r="AF43" s="4"/>
      <c r="AG43" s="49">
        <v>742534.50000000012</v>
      </c>
      <c r="AH43" s="49">
        <v>557329.10026582901</v>
      </c>
      <c r="AI43" s="50">
        <v>557329.1</v>
      </c>
    </row>
    <row r="44" spans="1:39" x14ac:dyDescent="0.25">
      <c r="AE44" s="4"/>
      <c r="AF44" s="4"/>
      <c r="AG44" s="50">
        <f>AG42-AG43</f>
        <v>-4079.7000000001863</v>
      </c>
      <c r="AH44" s="57">
        <f>AH42-AH43</f>
        <v>-4079.7002258292632</v>
      </c>
    </row>
    <row r="45" spans="1:39" x14ac:dyDescent="0.25">
      <c r="AG45" s="2"/>
      <c r="AH45" s="50"/>
      <c r="AI45" s="50"/>
    </row>
  </sheetData>
  <mergeCells count="52"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AG36:AG37"/>
    <mergeCell ref="A40:A41"/>
    <mergeCell ref="AG40:AG41"/>
    <mergeCell ref="AG17:AG19"/>
    <mergeCell ref="AG20:AG22"/>
    <mergeCell ref="AG23:AG25"/>
    <mergeCell ref="AG26:AG28"/>
    <mergeCell ref="AG29:AG31"/>
    <mergeCell ref="AG32:AG33"/>
  </mergeCells>
  <pageMargins left="0" right="0" top="0" bottom="0" header="0.31496062992125984" footer="0.31496062992125984"/>
  <pageSetup paperSize="9" scale="1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49"/>
  <sheetViews>
    <sheetView view="pageBreakPreview" zoomScale="75" zoomScaleNormal="55" zoomScaleSheetLayoutView="75" workbookViewId="0">
      <pane xSplit="5" ySplit="10" topLeftCell="Z14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  <c r="C2" s="90" t="s">
        <v>85</v>
      </c>
    </row>
    <row r="3" spans="1:39" ht="15.75" customHeight="1" x14ac:dyDescent="0.25">
      <c r="A3" s="247" t="s">
        <v>0</v>
      </c>
      <c r="B3" s="243" t="s">
        <v>1</v>
      </c>
      <c r="C3" s="248" t="s">
        <v>2</v>
      </c>
      <c r="D3" s="248"/>
      <c r="E3" s="73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4</v>
      </c>
      <c r="AF3" s="243" t="s">
        <v>5</v>
      </c>
      <c r="AG3" s="244" t="s">
        <v>6</v>
      </c>
    </row>
    <row r="4" spans="1:39" ht="15.75" customHeight="1" x14ac:dyDescent="0.25">
      <c r="A4" s="238"/>
      <c r="B4" s="242"/>
      <c r="C4" s="249" t="s">
        <v>7</v>
      </c>
      <c r="D4" s="249" t="s">
        <v>8</v>
      </c>
      <c r="E4" s="249" t="s">
        <v>9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  <c r="AF4" s="242"/>
      <c r="AG4" s="245"/>
    </row>
    <row r="5" spans="1:39" ht="15" customHeight="1" x14ac:dyDescent="0.25">
      <c r="A5" s="238"/>
      <c r="B5" s="242"/>
      <c r="C5" s="249"/>
      <c r="D5" s="249"/>
      <c r="E5" s="249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  <c r="AF5" s="242"/>
      <c r="AG5" s="245"/>
    </row>
    <row r="6" spans="1:39" ht="15.75" x14ac:dyDescent="0.25">
      <c r="A6" s="238"/>
      <c r="B6" s="242"/>
      <c r="C6" s="249"/>
      <c r="D6" s="249"/>
      <c r="E6" s="249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  <c r="AF6" s="242"/>
      <c r="AG6" s="245"/>
    </row>
    <row r="7" spans="1:39" ht="15" customHeight="1" x14ac:dyDescent="0.25">
      <c r="A7" s="238"/>
      <c r="B7" s="242"/>
      <c r="C7" s="249"/>
      <c r="D7" s="249"/>
      <c r="E7" s="249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  <c r="AF7" s="242"/>
      <c r="AG7" s="245"/>
    </row>
    <row r="8" spans="1:39" ht="15.75" x14ac:dyDescent="0.25">
      <c r="A8" s="238"/>
      <c r="B8" s="242"/>
      <c r="C8" s="249"/>
      <c r="D8" s="249"/>
      <c r="E8" s="249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  <c r="AF8" s="242"/>
      <c r="AG8" s="245"/>
    </row>
    <row r="9" spans="1:39" ht="94.5" x14ac:dyDescent="0.25">
      <c r="A9" s="238"/>
      <c r="B9" s="242"/>
      <c r="C9" s="249"/>
      <c r="D9" s="249"/>
      <c r="E9" s="249"/>
      <c r="F9" s="246"/>
      <c r="G9" s="246"/>
      <c r="H9" s="242"/>
      <c r="I9" s="242"/>
      <c r="J9" s="242"/>
      <c r="K9" s="242"/>
      <c r="L9" s="242"/>
      <c r="M9" s="246"/>
      <c r="N9" s="71" t="s">
        <v>33</v>
      </c>
      <c r="O9" s="71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  <c r="AF9" s="242"/>
      <c r="AG9" s="245"/>
      <c r="AH9" s="44" t="s">
        <v>68</v>
      </c>
      <c r="AI9" s="45" t="s">
        <v>69</v>
      </c>
    </row>
    <row r="10" spans="1:39" ht="15.75" x14ac:dyDescent="0.25">
      <c r="A10" s="72">
        <v>1</v>
      </c>
      <c r="B10" s="78">
        <v>2</v>
      </c>
      <c r="C10" s="74">
        <v>3</v>
      </c>
      <c r="D10" s="78">
        <v>4</v>
      </c>
      <c r="E10" s="74">
        <v>5</v>
      </c>
      <c r="F10" s="78">
        <v>6</v>
      </c>
      <c r="G10" s="74">
        <v>7</v>
      </c>
      <c r="H10" s="78">
        <v>8</v>
      </c>
      <c r="I10" s="74">
        <v>9</v>
      </c>
      <c r="J10" s="78">
        <v>10</v>
      </c>
      <c r="K10" s="74">
        <v>11</v>
      </c>
      <c r="L10" s="78">
        <v>12</v>
      </c>
      <c r="M10" s="74">
        <v>13</v>
      </c>
      <c r="N10" s="71">
        <v>14</v>
      </c>
      <c r="O10" s="78">
        <v>15</v>
      </c>
      <c r="P10" s="78">
        <f>O10+1</f>
        <v>16</v>
      </c>
      <c r="Q10" s="78">
        <f t="shared" ref="Q10:AD10" si="0">P10+1</f>
        <v>17</v>
      </c>
      <c r="R10" s="78">
        <f t="shared" si="0"/>
        <v>18</v>
      </c>
      <c r="S10" s="78">
        <f t="shared" si="0"/>
        <v>19</v>
      </c>
      <c r="T10" s="78">
        <f t="shared" si="0"/>
        <v>20</v>
      </c>
      <c r="U10" s="78">
        <f t="shared" si="0"/>
        <v>21</v>
      </c>
      <c r="V10" s="78">
        <f t="shared" si="0"/>
        <v>22</v>
      </c>
      <c r="W10" s="78">
        <f t="shared" si="0"/>
        <v>23</v>
      </c>
      <c r="X10" s="78">
        <f t="shared" si="0"/>
        <v>24</v>
      </c>
      <c r="Y10" s="78">
        <f t="shared" si="0"/>
        <v>25</v>
      </c>
      <c r="Z10" s="78">
        <f t="shared" si="0"/>
        <v>26</v>
      </c>
      <c r="AA10" s="78">
        <f t="shared" si="0"/>
        <v>27</v>
      </c>
      <c r="AB10" s="78">
        <f t="shared" si="0"/>
        <v>28</v>
      </c>
      <c r="AC10" s="78">
        <f t="shared" si="0"/>
        <v>29</v>
      </c>
      <c r="AD10" s="78">
        <f t="shared" si="0"/>
        <v>30</v>
      </c>
      <c r="AE10" s="78">
        <f>AF10+1</f>
        <v>32</v>
      </c>
      <c r="AF10" s="78">
        <f>AD10+1</f>
        <v>31</v>
      </c>
      <c r="AG10" s="15"/>
      <c r="AH10" s="46"/>
    </row>
    <row r="11" spans="1:39" s="1" customFormat="1" ht="78.75" x14ac:dyDescent="0.25">
      <c r="A11" s="77" t="s">
        <v>35</v>
      </c>
      <c r="B11" s="17" t="s">
        <v>36</v>
      </c>
      <c r="C11" s="17" t="s">
        <v>37</v>
      </c>
      <c r="D11" s="18" t="s">
        <v>38</v>
      </c>
      <c r="E11" s="19">
        <v>23764</v>
      </c>
      <c r="F11" s="20">
        <f t="shared" ref="F11:F39" si="1">SUM(G11,M11,Q11,R11,S11,T11,V11,W11,X11,AD11,P11,U11)</f>
        <v>3968.9108000000001</v>
      </c>
      <c r="G11" s="20">
        <f t="shared" ref="G11:G39" si="2">SUM(H11:L11)</f>
        <v>1651.9</v>
      </c>
      <c r="H11" s="21">
        <v>1268.74</v>
      </c>
      <c r="I11" s="22">
        <v>0</v>
      </c>
      <c r="J11" s="22">
        <v>0</v>
      </c>
      <c r="K11" s="20">
        <f t="shared" ref="K11:K39" si="3">ROUND(H11*0.302,2)</f>
        <v>383.16</v>
      </c>
      <c r="L11" s="22">
        <v>0</v>
      </c>
      <c r="M11" s="22">
        <v>181.36</v>
      </c>
      <c r="N11" s="22">
        <v>0</v>
      </c>
      <c r="O11" s="22">
        <v>56.96</v>
      </c>
      <c r="P11" s="22">
        <v>0</v>
      </c>
      <c r="Q11" s="22">
        <v>0.92</v>
      </c>
      <c r="R11" s="21">
        <v>176.31</v>
      </c>
      <c r="S11" s="22">
        <v>79.84</v>
      </c>
      <c r="T11" s="22">
        <v>478.47</v>
      </c>
      <c r="U11" s="22">
        <v>0</v>
      </c>
      <c r="V11" s="22">
        <v>16.11</v>
      </c>
      <c r="W11" s="22">
        <v>0</v>
      </c>
      <c r="X11" s="20">
        <f t="shared" ref="X11:X39" si="4">SUM(Y11:AC11)</f>
        <v>1310.48</v>
      </c>
      <c r="Y11" s="22">
        <v>1006.51</v>
      </c>
      <c r="Z11" s="22">
        <v>0</v>
      </c>
      <c r="AA11" s="22">
        <v>0</v>
      </c>
      <c r="AB11" s="20">
        <f t="shared" ref="AB11:AB39" si="5">ROUND(Y11*0.302,2)</f>
        <v>303.97000000000003</v>
      </c>
      <c r="AC11" s="22">
        <v>0</v>
      </c>
      <c r="AD11" s="22">
        <f>73.615-0.0942</f>
        <v>73.520799999999994</v>
      </c>
      <c r="AE11" s="20">
        <f t="shared" ref="AE11:AE43" si="6">ROUND(E11*F11/1000,1)</f>
        <v>94317.2</v>
      </c>
      <c r="AF11" s="22">
        <v>761.2</v>
      </c>
      <c r="AG11" s="241">
        <f>ROUND(AE11+AE12+AE13+AF11,1)</f>
        <v>101444.2</v>
      </c>
      <c r="AH11" s="47">
        <f>(G11+X11)*E11/1000</f>
        <v>70397.998320000013</v>
      </c>
      <c r="AI11" s="55">
        <v>70917.277365999995</v>
      </c>
      <c r="AJ11" s="6"/>
      <c r="AK11" s="55">
        <f>ROUND(AG11/1000,1)</f>
        <v>101.4</v>
      </c>
      <c r="AM11" s="8"/>
    </row>
    <row r="12" spans="1:39" s="1" customFormat="1" ht="63" x14ac:dyDescent="0.25">
      <c r="A12" s="77" t="s">
        <v>35</v>
      </c>
      <c r="B12" s="17" t="s">
        <v>39</v>
      </c>
      <c r="C12" s="17" t="s">
        <v>40</v>
      </c>
      <c r="D12" s="18" t="s">
        <v>38</v>
      </c>
      <c r="E12" s="19">
        <v>54</v>
      </c>
      <c r="F12" s="20">
        <f t="shared" si="1"/>
        <v>29694.579000000002</v>
      </c>
      <c r="G12" s="20">
        <f t="shared" si="2"/>
        <v>25558.61</v>
      </c>
      <c r="H12" s="22">
        <v>19630.27</v>
      </c>
      <c r="I12" s="22">
        <v>0</v>
      </c>
      <c r="J12" s="22">
        <v>0</v>
      </c>
      <c r="K12" s="20">
        <f t="shared" si="3"/>
        <v>5928.34</v>
      </c>
      <c r="L12" s="22">
        <v>0</v>
      </c>
      <c r="M12" s="22">
        <v>210.56</v>
      </c>
      <c r="N12" s="22">
        <v>0</v>
      </c>
      <c r="O12" s="22">
        <v>34.28</v>
      </c>
      <c r="P12" s="22">
        <v>0</v>
      </c>
      <c r="Q12" s="22">
        <v>47.71</v>
      </c>
      <c r="R12" s="22">
        <v>101.74</v>
      </c>
      <c r="S12" s="22">
        <v>485.92</v>
      </c>
      <c r="T12" s="22">
        <v>206.34</v>
      </c>
      <c r="U12" s="22">
        <v>0</v>
      </c>
      <c r="V12" s="22">
        <v>11.36</v>
      </c>
      <c r="W12" s="22">
        <v>0</v>
      </c>
      <c r="X12" s="20">
        <f t="shared" si="4"/>
        <v>2479.2399999999998</v>
      </c>
      <c r="Y12" s="22">
        <v>1904.18</v>
      </c>
      <c r="Z12" s="22">
        <v>0</v>
      </c>
      <c r="AA12" s="22">
        <v>0</v>
      </c>
      <c r="AB12" s="20">
        <f t="shared" si="5"/>
        <v>575.05999999999995</v>
      </c>
      <c r="AC12" s="22">
        <v>0</v>
      </c>
      <c r="AD12" s="22">
        <v>593.09900000000005</v>
      </c>
      <c r="AE12" s="20">
        <f t="shared" si="6"/>
        <v>1603.5</v>
      </c>
      <c r="AF12" s="22">
        <v>0</v>
      </c>
      <c r="AG12" s="241"/>
      <c r="AH12" s="47">
        <f t="shared" ref="AH12:AH41" si="7">(G12+X12)*E12/1000</f>
        <v>1514.0438999999999</v>
      </c>
      <c r="AI12" s="55">
        <v>1525.2091236000001</v>
      </c>
      <c r="AJ12" s="6"/>
      <c r="AK12" s="7"/>
      <c r="AM12" s="8"/>
    </row>
    <row r="13" spans="1:39" s="1" customFormat="1" ht="56.25" x14ac:dyDescent="0.25">
      <c r="A13" s="23" t="s">
        <v>35</v>
      </c>
      <c r="B13" s="17" t="s">
        <v>41</v>
      </c>
      <c r="C13" s="79" t="s">
        <v>42</v>
      </c>
      <c r="D13" s="18" t="s">
        <v>38</v>
      </c>
      <c r="E13" s="19">
        <v>41</v>
      </c>
      <c r="F13" s="20">
        <f t="shared" si="1"/>
        <v>116153.15700000001</v>
      </c>
      <c r="G13" s="20">
        <f t="shared" si="2"/>
        <v>77403.78</v>
      </c>
      <c r="H13" s="21">
        <v>59449.91</v>
      </c>
      <c r="I13" s="22">
        <v>0</v>
      </c>
      <c r="J13" s="22">
        <v>0</v>
      </c>
      <c r="K13" s="20">
        <f t="shared" si="3"/>
        <v>17953.87</v>
      </c>
      <c r="L13" s="22">
        <v>0</v>
      </c>
      <c r="M13" s="22">
        <v>792.29</v>
      </c>
      <c r="N13" s="22">
        <v>0</v>
      </c>
      <c r="O13" s="22">
        <v>72.12</v>
      </c>
      <c r="P13" s="22">
        <v>0</v>
      </c>
      <c r="Q13" s="22">
        <v>10738.13</v>
      </c>
      <c r="R13" s="22">
        <v>401.77</v>
      </c>
      <c r="S13" s="22">
        <v>1059.44</v>
      </c>
      <c r="T13" s="22">
        <v>12398.34</v>
      </c>
      <c r="U13" s="22">
        <v>0</v>
      </c>
      <c r="V13" s="22">
        <v>58.21</v>
      </c>
      <c r="W13" s="22">
        <v>0</v>
      </c>
      <c r="X13" s="20">
        <f t="shared" si="4"/>
        <v>10688.65</v>
      </c>
      <c r="Y13" s="22">
        <v>8209.41</v>
      </c>
      <c r="Z13" s="22">
        <v>0</v>
      </c>
      <c r="AA13" s="22">
        <v>0</v>
      </c>
      <c r="AB13" s="20">
        <f t="shared" si="5"/>
        <v>2479.2399999999998</v>
      </c>
      <c r="AC13" s="22">
        <v>0</v>
      </c>
      <c r="AD13" s="22">
        <v>2612.547</v>
      </c>
      <c r="AE13" s="20">
        <f t="shared" si="6"/>
        <v>4762.3</v>
      </c>
      <c r="AF13" s="22">
        <v>0</v>
      </c>
      <c r="AG13" s="241"/>
      <c r="AH13" s="47">
        <f t="shared" si="7"/>
        <v>3611.7896299999998</v>
      </c>
      <c r="AI13" s="55">
        <v>3638.4233530000006</v>
      </c>
      <c r="AJ13" s="6"/>
      <c r="AK13" s="7"/>
      <c r="AM13" s="8"/>
    </row>
    <row r="14" spans="1:39" s="1" customFormat="1" ht="78.75" x14ac:dyDescent="0.25">
      <c r="A14" s="77" t="s">
        <v>43</v>
      </c>
      <c r="B14" s="17" t="s">
        <v>36</v>
      </c>
      <c r="C14" s="17" t="s">
        <v>37</v>
      </c>
      <c r="D14" s="17" t="s">
        <v>38</v>
      </c>
      <c r="E14" s="19">
        <v>20521</v>
      </c>
      <c r="F14" s="20">
        <f t="shared" si="1"/>
        <v>4199.8069999999998</v>
      </c>
      <c r="G14" s="20">
        <f t="shared" si="2"/>
        <v>1921.66</v>
      </c>
      <c r="H14" s="20">
        <v>1475.93</v>
      </c>
      <c r="I14" s="25"/>
      <c r="J14" s="25"/>
      <c r="K14" s="20">
        <f t="shared" si="3"/>
        <v>445.73</v>
      </c>
      <c r="L14" s="25">
        <v>0</v>
      </c>
      <c r="M14" s="21">
        <v>325.42</v>
      </c>
      <c r="N14" s="20">
        <v>78.78</v>
      </c>
      <c r="O14" s="25">
        <v>3.99</v>
      </c>
      <c r="P14" s="26">
        <v>0</v>
      </c>
      <c r="Q14" s="25">
        <v>172.17</v>
      </c>
      <c r="R14" s="20">
        <v>274.17</v>
      </c>
      <c r="S14" s="25">
        <v>112.84</v>
      </c>
      <c r="T14" s="25">
        <v>90.43</v>
      </c>
      <c r="U14" s="20">
        <v>0</v>
      </c>
      <c r="V14" s="25">
        <v>19.2</v>
      </c>
      <c r="W14" s="25">
        <v>0</v>
      </c>
      <c r="X14" s="20">
        <f t="shared" si="4"/>
        <v>1121.17</v>
      </c>
      <c r="Y14" s="27">
        <v>861.11</v>
      </c>
      <c r="Z14" s="27"/>
      <c r="AA14" s="27"/>
      <c r="AB14" s="20">
        <f t="shared" si="5"/>
        <v>260.06</v>
      </c>
      <c r="AC14" s="25">
        <v>0</v>
      </c>
      <c r="AD14" s="25">
        <v>162.74700000000001</v>
      </c>
      <c r="AE14" s="20">
        <f t="shared" si="6"/>
        <v>86184.2</v>
      </c>
      <c r="AF14" s="25">
        <v>301.7</v>
      </c>
      <c r="AG14" s="237">
        <f>ROUND(AE14+AE15+AE16+AF14,1)</f>
        <v>87892.6</v>
      </c>
      <c r="AH14" s="47">
        <f t="shared" si="7"/>
        <v>62441.914429999997</v>
      </c>
      <c r="AI14" s="55">
        <v>62902.241501999997</v>
      </c>
      <c r="AJ14" s="6"/>
      <c r="AK14" s="55">
        <f>ROUND(AG14/1000,1)</f>
        <v>87.9</v>
      </c>
      <c r="AM14" s="8"/>
    </row>
    <row r="15" spans="1:39" s="1" customFormat="1" ht="63" x14ac:dyDescent="0.25">
      <c r="A15" s="77" t="s">
        <v>43</v>
      </c>
      <c r="B15" s="17" t="s">
        <v>39</v>
      </c>
      <c r="C15" s="17" t="s">
        <v>40</v>
      </c>
      <c r="D15" s="17" t="s">
        <v>38</v>
      </c>
      <c r="E15" s="19">
        <v>57</v>
      </c>
      <c r="F15" s="20">
        <f t="shared" si="1"/>
        <v>13321.769</v>
      </c>
      <c r="G15" s="20">
        <f t="shared" si="2"/>
        <v>11668.16</v>
      </c>
      <c r="H15" s="20">
        <v>8961.7199999999993</v>
      </c>
      <c r="I15" s="25"/>
      <c r="J15" s="25"/>
      <c r="K15" s="20">
        <f t="shared" si="3"/>
        <v>2706.44</v>
      </c>
      <c r="L15" s="25">
        <v>0</v>
      </c>
      <c r="M15" s="25">
        <v>218.19</v>
      </c>
      <c r="N15" s="20">
        <v>0</v>
      </c>
      <c r="O15" s="25">
        <v>5</v>
      </c>
      <c r="P15" s="26">
        <v>0</v>
      </c>
      <c r="Q15" s="25">
        <v>80</v>
      </c>
      <c r="R15" s="20">
        <v>88.99</v>
      </c>
      <c r="S15" s="25">
        <v>25.95</v>
      </c>
      <c r="T15" s="25">
        <v>0</v>
      </c>
      <c r="U15" s="20">
        <v>0</v>
      </c>
      <c r="V15" s="25">
        <v>19.11</v>
      </c>
      <c r="W15" s="25">
        <v>0</v>
      </c>
      <c r="X15" s="20">
        <f t="shared" si="4"/>
        <v>1144.1199999999999</v>
      </c>
      <c r="Y15" s="27">
        <v>878.74</v>
      </c>
      <c r="Z15" s="27"/>
      <c r="AA15" s="27"/>
      <c r="AB15" s="20">
        <f t="shared" si="5"/>
        <v>265.38</v>
      </c>
      <c r="AC15" s="25">
        <v>0</v>
      </c>
      <c r="AD15" s="25">
        <v>77.248999999999995</v>
      </c>
      <c r="AE15" s="20">
        <f t="shared" si="6"/>
        <v>759.3</v>
      </c>
      <c r="AF15" s="25">
        <v>0</v>
      </c>
      <c r="AG15" s="237"/>
      <c r="AH15" s="47">
        <f t="shared" si="7"/>
        <v>730.29995999999994</v>
      </c>
      <c r="AI15" s="55">
        <v>735.68520599999988</v>
      </c>
      <c r="AJ15" s="6"/>
      <c r="AK15" s="7"/>
      <c r="AM15" s="8"/>
    </row>
    <row r="16" spans="1:39" s="1" customFormat="1" ht="47.25" x14ac:dyDescent="0.25">
      <c r="A16" s="77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323714.69900000002</v>
      </c>
      <c r="G16" s="20">
        <f t="shared" si="2"/>
        <v>280421.14</v>
      </c>
      <c r="H16" s="20">
        <v>215377.22</v>
      </c>
      <c r="I16" s="20"/>
      <c r="J16" s="20"/>
      <c r="K16" s="20">
        <f t="shared" si="3"/>
        <v>65043.92</v>
      </c>
      <c r="L16" s="20">
        <v>0</v>
      </c>
      <c r="M16" s="20">
        <v>28769.200000000001</v>
      </c>
      <c r="N16" s="20">
        <v>1132.1500000000001</v>
      </c>
      <c r="O16" s="20">
        <v>28769.200000000001</v>
      </c>
      <c r="P16" s="20">
        <v>0</v>
      </c>
      <c r="Q16" s="20">
        <v>5500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4"/>
        <v>7396.9500000000007</v>
      </c>
      <c r="Y16" s="20">
        <v>5681.22</v>
      </c>
      <c r="Z16" s="20"/>
      <c r="AA16" s="20"/>
      <c r="AB16" s="20">
        <f t="shared" si="5"/>
        <v>1715.73</v>
      </c>
      <c r="AC16" s="25">
        <v>0</v>
      </c>
      <c r="AD16" s="25">
        <v>959.09900000000005</v>
      </c>
      <c r="AE16" s="20">
        <f t="shared" si="6"/>
        <v>647.4</v>
      </c>
      <c r="AF16" s="20">
        <v>0</v>
      </c>
      <c r="AG16" s="237"/>
      <c r="AH16" s="47">
        <f t="shared" si="7"/>
        <v>575.63618000000008</v>
      </c>
      <c r="AI16" s="55">
        <v>579.88096799999994</v>
      </c>
      <c r="AJ16" s="6"/>
      <c r="AK16" s="7"/>
      <c r="AM16" s="8"/>
    </row>
    <row r="17" spans="1:39" s="1" customFormat="1" ht="78.75" x14ac:dyDescent="0.25">
      <c r="A17" s="77" t="s">
        <v>44</v>
      </c>
      <c r="B17" s="17" t="s">
        <v>36</v>
      </c>
      <c r="C17" s="17" t="s">
        <v>37</v>
      </c>
      <c r="D17" s="17" t="s">
        <v>45</v>
      </c>
      <c r="E17" s="19">
        <v>32061</v>
      </c>
      <c r="F17" s="20">
        <f t="shared" si="1"/>
        <v>2817.3670000000002</v>
      </c>
      <c r="G17" s="20">
        <f t="shared" si="2"/>
        <v>1559.8999999999999</v>
      </c>
      <c r="H17" s="20">
        <v>1198.08</v>
      </c>
      <c r="I17" s="25">
        <v>0</v>
      </c>
      <c r="J17" s="25">
        <v>0</v>
      </c>
      <c r="K17" s="20">
        <f t="shared" si="3"/>
        <v>361.82</v>
      </c>
      <c r="L17" s="25">
        <v>0</v>
      </c>
      <c r="M17" s="21">
        <v>298.81</v>
      </c>
      <c r="N17" s="25">
        <v>67.61</v>
      </c>
      <c r="O17" s="25">
        <v>52.19</v>
      </c>
      <c r="P17" s="26">
        <v>0</v>
      </c>
      <c r="Q17" s="25">
        <v>65.819999999999993</v>
      </c>
      <c r="R17" s="25">
        <v>79.069999999999993</v>
      </c>
      <c r="S17" s="25">
        <v>197.27</v>
      </c>
      <c r="T17" s="25">
        <v>48.56</v>
      </c>
      <c r="U17" s="20">
        <v>0</v>
      </c>
      <c r="V17" s="25">
        <v>10.3</v>
      </c>
      <c r="W17" s="25">
        <v>0</v>
      </c>
      <c r="X17" s="20">
        <f t="shared" si="4"/>
        <v>531.84</v>
      </c>
      <c r="Y17" s="27">
        <v>408.48</v>
      </c>
      <c r="Z17" s="25">
        <v>0</v>
      </c>
      <c r="AA17" s="25">
        <v>0</v>
      </c>
      <c r="AB17" s="20">
        <f t="shared" si="5"/>
        <v>123.36</v>
      </c>
      <c r="AC17" s="25">
        <v>0</v>
      </c>
      <c r="AD17" s="25">
        <v>25.797000000000001</v>
      </c>
      <c r="AE17" s="20">
        <f t="shared" si="6"/>
        <v>90327.6</v>
      </c>
      <c r="AF17" s="25">
        <v>406.4</v>
      </c>
      <c r="AG17" s="237">
        <f>ROUND(AE17+AE18+AE19+AF17,1)</f>
        <v>95603.1</v>
      </c>
      <c r="AH17" s="47">
        <f t="shared" si="7"/>
        <v>67063.276139999987</v>
      </c>
      <c r="AI17" s="55">
        <v>67557.849126000001</v>
      </c>
      <c r="AJ17" s="6"/>
      <c r="AK17" s="55">
        <f>ROUND(AG17/1000,1)</f>
        <v>95.6</v>
      </c>
      <c r="AM17" s="8"/>
    </row>
    <row r="18" spans="1:39" s="1" customFormat="1" ht="63" x14ac:dyDescent="0.25">
      <c r="A18" s="77" t="s">
        <v>44</v>
      </c>
      <c r="B18" s="17" t="s">
        <v>39</v>
      </c>
      <c r="C18" s="17" t="s">
        <v>40</v>
      </c>
      <c r="D18" s="17" t="s">
        <v>45</v>
      </c>
      <c r="E18" s="19">
        <v>139</v>
      </c>
      <c r="F18" s="20">
        <f t="shared" si="1"/>
        <v>17966.012000000002</v>
      </c>
      <c r="G18" s="20">
        <f t="shared" si="2"/>
        <v>11544.44</v>
      </c>
      <c r="H18" s="20">
        <v>8866.7000000000007</v>
      </c>
      <c r="I18" s="25">
        <v>0</v>
      </c>
      <c r="J18" s="25">
        <v>0</v>
      </c>
      <c r="K18" s="20">
        <f t="shared" si="3"/>
        <v>2677.74</v>
      </c>
      <c r="L18" s="25">
        <v>0</v>
      </c>
      <c r="M18" s="25">
        <v>1167.99</v>
      </c>
      <c r="N18" s="25">
        <v>526.32000000000005</v>
      </c>
      <c r="O18" s="25">
        <v>466.67</v>
      </c>
      <c r="P18" s="26">
        <v>0</v>
      </c>
      <c r="Q18" s="25">
        <v>233.33</v>
      </c>
      <c r="R18" s="25">
        <v>217.96</v>
      </c>
      <c r="S18" s="25">
        <v>2036.69</v>
      </c>
      <c r="T18" s="25">
        <v>0</v>
      </c>
      <c r="U18" s="20">
        <v>0</v>
      </c>
      <c r="V18" s="25">
        <v>73.680000000000007</v>
      </c>
      <c r="W18" s="25">
        <v>0</v>
      </c>
      <c r="X18" s="20">
        <f t="shared" si="4"/>
        <v>1651.99</v>
      </c>
      <c r="Y18" s="27">
        <v>1268.81</v>
      </c>
      <c r="Z18" s="25">
        <v>0</v>
      </c>
      <c r="AA18" s="25">
        <v>0</v>
      </c>
      <c r="AB18" s="20">
        <f t="shared" si="5"/>
        <v>383.18</v>
      </c>
      <c r="AC18" s="25">
        <v>0</v>
      </c>
      <c r="AD18" s="25">
        <v>1039.932</v>
      </c>
      <c r="AE18" s="20">
        <f t="shared" si="6"/>
        <v>2497.3000000000002</v>
      </c>
      <c r="AF18" s="25">
        <v>0</v>
      </c>
      <c r="AG18" s="237"/>
      <c r="AH18" s="47">
        <f t="shared" si="7"/>
        <v>1834.30377</v>
      </c>
      <c r="AI18" s="55">
        <v>1847.831111</v>
      </c>
      <c r="AJ18" s="6"/>
      <c r="AK18" s="7"/>
      <c r="AM18" s="8"/>
    </row>
    <row r="19" spans="1:39" s="1" customFormat="1" ht="47.25" x14ac:dyDescent="0.25">
      <c r="A19" s="77" t="s">
        <v>44</v>
      </c>
      <c r="B19" s="17" t="s">
        <v>41</v>
      </c>
      <c r="C19" s="17" t="s">
        <v>42</v>
      </c>
      <c r="D19" s="17" t="s">
        <v>38</v>
      </c>
      <c r="E19" s="19">
        <v>5</v>
      </c>
      <c r="F19" s="20">
        <f t="shared" si="1"/>
        <v>474354.71400000004</v>
      </c>
      <c r="G19" s="20">
        <f t="shared" si="2"/>
        <v>247148.56</v>
      </c>
      <c r="H19" s="20">
        <v>189822.24</v>
      </c>
      <c r="I19" s="25">
        <v>0</v>
      </c>
      <c r="J19" s="25">
        <v>0</v>
      </c>
      <c r="K19" s="20">
        <f t="shared" si="3"/>
        <v>57326.32</v>
      </c>
      <c r="L19" s="25">
        <v>0</v>
      </c>
      <c r="M19" s="25">
        <v>106722.86</v>
      </c>
      <c r="N19" s="25">
        <v>91040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61787.14</v>
      </c>
      <c r="Y19" s="25">
        <v>47455.56</v>
      </c>
      <c r="Z19" s="20">
        <v>0</v>
      </c>
      <c r="AA19" s="27">
        <v>0</v>
      </c>
      <c r="AB19" s="20">
        <f t="shared" si="5"/>
        <v>14331.58</v>
      </c>
      <c r="AC19" s="25">
        <v>0</v>
      </c>
      <c r="AD19" s="25">
        <v>20989.013999999999</v>
      </c>
      <c r="AE19" s="20">
        <f t="shared" si="6"/>
        <v>2371.8000000000002</v>
      </c>
      <c r="AF19" s="25">
        <v>0</v>
      </c>
      <c r="AG19" s="237"/>
      <c r="AH19" s="47">
        <f t="shared" si="7"/>
        <v>1544.6785</v>
      </c>
      <c r="AI19" s="55">
        <v>1556.0689850000001</v>
      </c>
      <c r="AJ19" s="6"/>
      <c r="AK19" s="7"/>
      <c r="AM19" s="8"/>
    </row>
    <row r="20" spans="1:39" s="1" customFormat="1" ht="78.75" x14ac:dyDescent="0.25">
      <c r="A20" s="77" t="s">
        <v>46</v>
      </c>
      <c r="B20" s="78" t="s">
        <v>36</v>
      </c>
      <c r="C20" s="17" t="s">
        <v>37</v>
      </c>
      <c r="D20" s="78" t="s">
        <v>45</v>
      </c>
      <c r="E20" s="19">
        <v>10254</v>
      </c>
      <c r="F20" s="20">
        <f t="shared" si="1"/>
        <v>8170.7710000000015</v>
      </c>
      <c r="G20" s="20">
        <f t="shared" si="2"/>
        <v>4646.0700000000006</v>
      </c>
      <c r="H20" s="20">
        <v>3535.66</v>
      </c>
      <c r="I20" s="20">
        <v>0</v>
      </c>
      <c r="J20" s="20">
        <v>0</v>
      </c>
      <c r="K20" s="20">
        <f t="shared" si="3"/>
        <v>1067.77</v>
      </c>
      <c r="L20" s="20">
        <v>42.64</v>
      </c>
      <c r="M20" s="21">
        <v>743.71</v>
      </c>
      <c r="N20" s="20">
        <v>29.51</v>
      </c>
      <c r="O20" s="20">
        <v>40.770000000000003</v>
      </c>
      <c r="P20" s="26">
        <v>0</v>
      </c>
      <c r="Q20" s="20">
        <v>0</v>
      </c>
      <c r="R20" s="20">
        <v>262.33</v>
      </c>
      <c r="S20" s="20">
        <v>791.58</v>
      </c>
      <c r="T20" s="20">
        <v>101.84</v>
      </c>
      <c r="U20" s="20">
        <v>0</v>
      </c>
      <c r="V20" s="20">
        <v>30.12</v>
      </c>
      <c r="W20" s="20">
        <v>5.01</v>
      </c>
      <c r="X20" s="20">
        <f t="shared" si="4"/>
        <v>1558.73</v>
      </c>
      <c r="Y20" s="27">
        <v>1197.18</v>
      </c>
      <c r="Z20" s="20">
        <v>0</v>
      </c>
      <c r="AA20" s="20"/>
      <c r="AB20" s="20">
        <f t="shared" si="5"/>
        <v>361.55</v>
      </c>
      <c r="AC20" s="25">
        <v>0</v>
      </c>
      <c r="AD20" s="25">
        <v>31.381</v>
      </c>
      <c r="AE20" s="20">
        <f t="shared" si="6"/>
        <v>83783.100000000006</v>
      </c>
      <c r="AF20" s="20">
        <v>164.4</v>
      </c>
      <c r="AG20" s="237">
        <f>ROUND(AE20+AE21+AE22+AF20,1)</f>
        <v>87522.6</v>
      </c>
      <c r="AH20" s="47">
        <f t="shared" si="7"/>
        <v>63624.01920000001</v>
      </c>
      <c r="AI20" s="55">
        <v>64093.238318823423</v>
      </c>
      <c r="AJ20" s="6"/>
      <c r="AK20" s="55">
        <f>ROUND(AG20/1000,1)</f>
        <v>87.5</v>
      </c>
      <c r="AM20" s="8"/>
    </row>
    <row r="21" spans="1:39" s="1" customFormat="1" ht="63" x14ac:dyDescent="0.25">
      <c r="A21" s="77" t="s">
        <v>46</v>
      </c>
      <c r="B21" s="78" t="s">
        <v>39</v>
      </c>
      <c r="C21" s="17" t="s">
        <v>40</v>
      </c>
      <c r="D21" s="78" t="s">
        <v>45</v>
      </c>
      <c r="E21" s="19">
        <v>78</v>
      </c>
      <c r="F21" s="20">
        <f t="shared" si="1"/>
        <v>22574.865000000002</v>
      </c>
      <c r="G21" s="20">
        <f t="shared" si="2"/>
        <v>13324.32</v>
      </c>
      <c r="H21" s="20">
        <v>9557.0300000000007</v>
      </c>
      <c r="I21" s="20">
        <v>0</v>
      </c>
      <c r="J21" s="20">
        <v>0</v>
      </c>
      <c r="K21" s="20">
        <f t="shared" si="3"/>
        <v>2886.22</v>
      </c>
      <c r="L21" s="20">
        <v>881.07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v>1804.91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6297.49</v>
      </c>
      <c r="Y21" s="27">
        <v>4836.78</v>
      </c>
      <c r="Z21" s="20">
        <v>0</v>
      </c>
      <c r="AA21" s="20"/>
      <c r="AB21" s="20">
        <f t="shared" si="5"/>
        <v>1460.71</v>
      </c>
      <c r="AC21" s="25">
        <v>0</v>
      </c>
      <c r="AD21" s="25">
        <v>313.46499999999997</v>
      </c>
      <c r="AE21" s="20">
        <f t="shared" si="6"/>
        <v>1760.8</v>
      </c>
      <c r="AF21" s="20">
        <v>0</v>
      </c>
      <c r="AG21" s="237"/>
      <c r="AH21" s="47">
        <f t="shared" si="7"/>
        <v>1530.5011799999997</v>
      </c>
      <c r="AI21" s="55">
        <v>1541.7870346666666</v>
      </c>
      <c r="AJ21" s="6"/>
      <c r="AK21" s="7"/>
      <c r="AM21" s="8"/>
    </row>
    <row r="22" spans="1:39" s="1" customFormat="1" ht="47.25" x14ac:dyDescent="0.25">
      <c r="A22" s="77" t="s">
        <v>46</v>
      </c>
      <c r="B22" s="17" t="s">
        <v>41</v>
      </c>
      <c r="C22" s="17" t="s">
        <v>42</v>
      </c>
      <c r="D22" s="78" t="s">
        <v>38</v>
      </c>
      <c r="E22" s="19">
        <v>9</v>
      </c>
      <c r="F22" s="20">
        <f t="shared" si="1"/>
        <v>201593.31500000003</v>
      </c>
      <c r="G22" s="20">
        <f t="shared" si="2"/>
        <v>137750.52000000002</v>
      </c>
      <c r="H22" s="20">
        <v>104179.78</v>
      </c>
      <c r="I22" s="20">
        <v>0</v>
      </c>
      <c r="J22" s="20">
        <v>0</v>
      </c>
      <c r="K22" s="20">
        <f t="shared" si="3"/>
        <v>31462.29</v>
      </c>
      <c r="L22" s="20">
        <f>2079.48+28.97</f>
        <v>2108.4499999999998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3210.74+44.44</f>
        <v>3255.18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57646.26</v>
      </c>
      <c r="Y22" s="20">
        <v>44275.16</v>
      </c>
      <c r="Z22" s="20">
        <v>0</v>
      </c>
      <c r="AA22" s="20"/>
      <c r="AB22" s="20">
        <f t="shared" si="5"/>
        <v>13371.1</v>
      </c>
      <c r="AC22" s="25">
        <v>0</v>
      </c>
      <c r="AD22" s="25">
        <v>669.94500000000005</v>
      </c>
      <c r="AE22" s="20">
        <f t="shared" si="6"/>
        <v>1814.3</v>
      </c>
      <c r="AF22" s="20"/>
      <c r="AG22" s="237"/>
      <c r="AH22" s="47">
        <f t="shared" si="7"/>
        <v>1758.5710200000003</v>
      </c>
      <c r="AI22" s="55">
        <v>1771.2762164999999</v>
      </c>
      <c r="AJ22" s="6"/>
      <c r="AK22" s="7"/>
      <c r="AM22" s="8"/>
    </row>
    <row r="23" spans="1:39" s="1" customFormat="1" ht="78.75" x14ac:dyDescent="0.25">
      <c r="A23" s="77" t="s">
        <v>47</v>
      </c>
      <c r="B23" s="17" t="s">
        <v>36</v>
      </c>
      <c r="C23" s="17" t="s">
        <v>37</v>
      </c>
      <c r="D23" s="28" t="s">
        <v>38</v>
      </c>
      <c r="E23" s="19">
        <v>18226</v>
      </c>
      <c r="F23" s="20">
        <f t="shared" si="1"/>
        <v>5759.5419999999995</v>
      </c>
      <c r="G23" s="20">
        <f t="shared" si="2"/>
        <v>3480.02</v>
      </c>
      <c r="H23" s="20">
        <v>2672.83</v>
      </c>
      <c r="I23" s="25"/>
      <c r="J23" s="25"/>
      <c r="K23" s="20">
        <f t="shared" si="3"/>
        <v>807.19</v>
      </c>
      <c r="L23" s="25">
        <v>0</v>
      </c>
      <c r="M23" s="21">
        <v>649.29</v>
      </c>
      <c r="N23" s="25">
        <v>483.44</v>
      </c>
      <c r="O23" s="25">
        <v>15.11</v>
      </c>
      <c r="P23" s="26">
        <v>0</v>
      </c>
      <c r="Q23" s="25">
        <v>163.44999999999999</v>
      </c>
      <c r="R23" s="25">
        <v>154.35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895.13</v>
      </c>
      <c r="Y23" s="27">
        <v>687.5</v>
      </c>
      <c r="Z23" s="27"/>
      <c r="AA23" s="27"/>
      <c r="AB23" s="20">
        <f t="shared" si="5"/>
        <v>207.63</v>
      </c>
      <c r="AC23" s="25">
        <v>0</v>
      </c>
      <c r="AD23" s="25">
        <v>37.042000000000002</v>
      </c>
      <c r="AE23" s="20">
        <f t="shared" si="6"/>
        <v>104973.4</v>
      </c>
      <c r="AF23" s="27">
        <v>294.2</v>
      </c>
      <c r="AG23" s="237">
        <f>ROUND(AE23+AE24+AE25+AF23,1)</f>
        <v>111749.1</v>
      </c>
      <c r="AH23" s="47">
        <f t="shared" si="7"/>
        <v>79741.483899999992</v>
      </c>
      <c r="AI23" s="55">
        <v>80329.582241999989</v>
      </c>
      <c r="AJ23" s="6"/>
      <c r="AK23" s="55">
        <f>ROUND(AG23/1000,1)</f>
        <v>111.7</v>
      </c>
      <c r="AM23" s="8"/>
    </row>
    <row r="24" spans="1:39" s="1" customFormat="1" ht="63" x14ac:dyDescent="0.25">
      <c r="A24" s="77" t="s">
        <v>47</v>
      </c>
      <c r="B24" s="17" t="s">
        <v>39</v>
      </c>
      <c r="C24" s="17" t="s">
        <v>40</v>
      </c>
      <c r="D24" s="28" t="s">
        <v>38</v>
      </c>
      <c r="E24" s="19">
        <v>219</v>
      </c>
      <c r="F24" s="20">
        <f t="shared" si="1"/>
        <v>15684.470999999998</v>
      </c>
      <c r="G24" s="20">
        <f t="shared" si="2"/>
        <v>11247.939999999999</v>
      </c>
      <c r="H24" s="20">
        <v>8638.9699999999993</v>
      </c>
      <c r="I24" s="25"/>
      <c r="J24" s="25"/>
      <c r="K24" s="20">
        <f t="shared" si="3"/>
        <v>2608.9699999999998</v>
      </c>
      <c r="L24" s="25">
        <v>0</v>
      </c>
      <c r="M24" s="25">
        <v>223.04</v>
      </c>
      <c r="N24" s="25">
        <v>0</v>
      </c>
      <c r="O24" s="25">
        <v>0</v>
      </c>
      <c r="P24" s="26">
        <v>0</v>
      </c>
      <c r="Q24" s="25">
        <v>2727.59</v>
      </c>
      <c r="R24" s="25">
        <v>154.35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895.13</v>
      </c>
      <c r="Y24" s="27">
        <v>687.5</v>
      </c>
      <c r="Z24" s="27"/>
      <c r="AA24" s="27"/>
      <c r="AB24" s="20">
        <f t="shared" si="5"/>
        <v>207.63</v>
      </c>
      <c r="AC24" s="25">
        <v>0</v>
      </c>
      <c r="AD24" s="25">
        <v>63.040999999999997</v>
      </c>
      <c r="AE24" s="20">
        <f t="shared" si="6"/>
        <v>3434.9</v>
      </c>
      <c r="AF24" s="27">
        <v>0</v>
      </c>
      <c r="AG24" s="237"/>
      <c r="AH24" s="47">
        <f t="shared" si="7"/>
        <v>2659.3323299999997</v>
      </c>
      <c r="AI24" s="55">
        <v>2678.9424660000004</v>
      </c>
      <c r="AJ24" s="6"/>
      <c r="AK24" s="7"/>
      <c r="AM24" s="8"/>
    </row>
    <row r="25" spans="1:39" s="1" customFormat="1" ht="45" x14ac:dyDescent="0.25">
      <c r="A25" s="77" t="s">
        <v>47</v>
      </c>
      <c r="B25" s="17" t="s">
        <v>41</v>
      </c>
      <c r="C25" s="79" t="s">
        <v>42</v>
      </c>
      <c r="D25" s="28" t="s">
        <v>38</v>
      </c>
      <c r="E25" s="19">
        <v>29</v>
      </c>
      <c r="F25" s="20">
        <f t="shared" si="1"/>
        <v>105055.37800000004</v>
      </c>
      <c r="G25" s="20">
        <f t="shared" si="2"/>
        <v>78950.510000000009</v>
      </c>
      <c r="H25" s="20">
        <v>60637.87</v>
      </c>
      <c r="I25" s="20"/>
      <c r="J25" s="20"/>
      <c r="K25" s="20">
        <f t="shared" si="3"/>
        <v>18312.64</v>
      </c>
      <c r="L25" s="20">
        <v>0</v>
      </c>
      <c r="M25" s="20">
        <v>412.14</v>
      </c>
      <c r="N25" s="20">
        <v>0</v>
      </c>
      <c r="O25" s="20">
        <v>0</v>
      </c>
      <c r="P25" s="20">
        <v>0</v>
      </c>
      <c r="Q25" s="20">
        <v>23980.77</v>
      </c>
      <c r="R25" s="20">
        <v>154.35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895.13</v>
      </c>
      <c r="Y25" s="27">
        <v>687.5</v>
      </c>
      <c r="Z25" s="20"/>
      <c r="AA25" s="20"/>
      <c r="AB25" s="20">
        <f t="shared" si="5"/>
        <v>207.63</v>
      </c>
      <c r="AC25" s="25">
        <v>0</v>
      </c>
      <c r="AD25" s="25">
        <v>288.22800000000001</v>
      </c>
      <c r="AE25" s="20">
        <f t="shared" si="6"/>
        <v>3046.6</v>
      </c>
      <c r="AF25" s="20">
        <v>0</v>
      </c>
      <c r="AG25" s="237"/>
      <c r="AH25" s="47">
        <f t="shared" si="7"/>
        <v>2315.5235600000005</v>
      </c>
      <c r="AI25" s="55">
        <v>2332.5985570000003</v>
      </c>
      <c r="AJ25" s="6"/>
      <c r="AK25" s="7"/>
      <c r="AM25" s="8"/>
    </row>
    <row r="26" spans="1:39" s="1" customFormat="1" ht="78.75" x14ac:dyDescent="0.25">
      <c r="A26" s="77" t="s">
        <v>48</v>
      </c>
      <c r="B26" s="17" t="s">
        <v>49</v>
      </c>
      <c r="C26" s="17" t="s">
        <v>37</v>
      </c>
      <c r="D26" s="18" t="s">
        <v>38</v>
      </c>
      <c r="E26" s="19">
        <v>41460</v>
      </c>
      <c r="F26" s="20">
        <f t="shared" si="1"/>
        <v>2416.9899999999998</v>
      </c>
      <c r="G26" s="20">
        <f t="shared" si="2"/>
        <v>1870.5700000000002</v>
      </c>
      <c r="H26" s="20">
        <v>1436.69</v>
      </c>
      <c r="I26" s="25"/>
      <c r="J26" s="25"/>
      <c r="K26" s="20">
        <f t="shared" si="3"/>
        <v>433.88</v>
      </c>
      <c r="L26" s="25">
        <v>0</v>
      </c>
      <c r="M26" s="25">
        <v>138.4</v>
      </c>
      <c r="N26" s="25">
        <v>0</v>
      </c>
      <c r="O26" s="25">
        <v>21.86</v>
      </c>
      <c r="P26" s="26">
        <v>0</v>
      </c>
      <c r="Q26" s="25">
        <v>20.239999999999998</v>
      </c>
      <c r="R26" s="25">
        <v>29.38</v>
      </c>
      <c r="S26" s="25">
        <v>116.42</v>
      </c>
      <c r="T26" s="25">
        <v>0.97</v>
      </c>
      <c r="U26" s="20">
        <v>0</v>
      </c>
      <c r="V26" s="25">
        <v>3.11</v>
      </c>
      <c r="W26" s="25">
        <v>0.35</v>
      </c>
      <c r="X26" s="20">
        <f t="shared" si="4"/>
        <v>132.06</v>
      </c>
      <c r="Y26" s="27">
        <v>101.43</v>
      </c>
      <c r="Z26" s="25"/>
      <c r="AA26" s="25"/>
      <c r="AB26" s="20">
        <f t="shared" si="5"/>
        <v>30.63</v>
      </c>
      <c r="AC26" s="25">
        <v>0</v>
      </c>
      <c r="AD26" s="25">
        <v>105.49</v>
      </c>
      <c r="AE26" s="20">
        <f t="shared" si="6"/>
        <v>100208.4</v>
      </c>
      <c r="AF26" s="25">
        <f>517.9</f>
        <v>517.9</v>
      </c>
      <c r="AG26" s="237">
        <f>ROUND(AE26+AE27+AE28+AF26,1)</f>
        <v>103646.6</v>
      </c>
      <c r="AH26" s="47">
        <f t="shared" si="7"/>
        <v>83029.039800000013</v>
      </c>
      <c r="AI26" s="55">
        <v>83641.238159999979</v>
      </c>
      <c r="AJ26" s="6"/>
      <c r="AK26" s="55">
        <f>ROUND(AG26/1000,1)</f>
        <v>103.6</v>
      </c>
      <c r="AM26" s="8"/>
    </row>
    <row r="27" spans="1:39" s="1" customFormat="1" ht="63" x14ac:dyDescent="0.25">
      <c r="A27" s="77" t="s">
        <v>48</v>
      </c>
      <c r="B27" s="17" t="s">
        <v>50</v>
      </c>
      <c r="C27" s="17" t="s">
        <v>40</v>
      </c>
      <c r="D27" s="18" t="s">
        <v>38</v>
      </c>
      <c r="E27" s="19">
        <v>316</v>
      </c>
      <c r="F27" s="20">
        <f t="shared" si="1"/>
        <v>4339.8959999999997</v>
      </c>
      <c r="G27" s="20">
        <f t="shared" si="2"/>
        <v>3526.92</v>
      </c>
      <c r="H27" s="20">
        <v>2708.85</v>
      </c>
      <c r="I27" s="25"/>
      <c r="J27" s="25"/>
      <c r="K27" s="20">
        <f t="shared" si="3"/>
        <v>818.07</v>
      </c>
      <c r="L27" s="25">
        <v>0</v>
      </c>
      <c r="M27" s="25">
        <v>397.65</v>
      </c>
      <c r="N27" s="25">
        <v>0</v>
      </c>
      <c r="O27" s="25">
        <v>55.63</v>
      </c>
      <c r="P27" s="26">
        <v>0</v>
      </c>
      <c r="Q27" s="25">
        <v>2.8</v>
      </c>
      <c r="R27" s="25">
        <v>74.040000000000006</v>
      </c>
      <c r="S27" s="25">
        <v>21.67</v>
      </c>
      <c r="T27" s="25">
        <v>2.35</v>
      </c>
      <c r="U27" s="20">
        <v>0</v>
      </c>
      <c r="V27" s="25">
        <v>6.52</v>
      </c>
      <c r="W27" s="25">
        <v>0.74</v>
      </c>
      <c r="X27" s="20">
        <f t="shared" si="4"/>
        <v>112.05999999999999</v>
      </c>
      <c r="Y27" s="27">
        <v>86.07</v>
      </c>
      <c r="Z27" s="25"/>
      <c r="AA27" s="25"/>
      <c r="AB27" s="20">
        <f t="shared" si="5"/>
        <v>25.99</v>
      </c>
      <c r="AC27" s="25">
        <v>0</v>
      </c>
      <c r="AD27" s="25">
        <v>195.14599999999999</v>
      </c>
      <c r="AE27" s="20">
        <f t="shared" si="6"/>
        <v>1371.4</v>
      </c>
      <c r="AF27" s="25">
        <v>0</v>
      </c>
      <c r="AG27" s="237"/>
      <c r="AH27" s="47">
        <f t="shared" si="7"/>
        <v>1149.91768</v>
      </c>
      <c r="AI27" s="55">
        <v>1158.4038600000001</v>
      </c>
      <c r="AJ27" s="6"/>
      <c r="AK27" s="7"/>
      <c r="AM27" s="8"/>
    </row>
    <row r="28" spans="1:39" s="1" customFormat="1" ht="45" x14ac:dyDescent="0.25">
      <c r="A28" s="77" t="s">
        <v>48</v>
      </c>
      <c r="B28" s="17" t="s">
        <v>41</v>
      </c>
      <c r="C28" s="79" t="s">
        <v>42</v>
      </c>
      <c r="D28" s="28" t="s">
        <v>38</v>
      </c>
      <c r="E28" s="19">
        <v>18</v>
      </c>
      <c r="F28" s="20">
        <f t="shared" si="1"/>
        <v>86052.736000000004</v>
      </c>
      <c r="G28" s="20">
        <f t="shared" si="2"/>
        <v>81521.960000000006</v>
      </c>
      <c r="H28" s="20">
        <v>62612.87</v>
      </c>
      <c r="I28" s="20"/>
      <c r="J28" s="20"/>
      <c r="K28" s="20">
        <f t="shared" si="3"/>
        <v>18909.09</v>
      </c>
      <c r="L28" s="20">
        <v>0</v>
      </c>
      <c r="M28" s="20">
        <v>398.91</v>
      </c>
      <c r="N28" s="20">
        <v>0</v>
      </c>
      <c r="O28" s="20">
        <v>398.91</v>
      </c>
      <c r="P28" s="20">
        <v>0</v>
      </c>
      <c r="Q28" s="20">
        <v>3759.9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48.26</v>
      </c>
      <c r="X28" s="20">
        <f t="shared" si="4"/>
        <v>0</v>
      </c>
      <c r="Y28" s="20">
        <v>0</v>
      </c>
      <c r="Z28" s="20"/>
      <c r="AA28" s="20"/>
      <c r="AB28" s="20">
        <f t="shared" si="5"/>
        <v>0</v>
      </c>
      <c r="AC28" s="25">
        <v>0</v>
      </c>
      <c r="AD28" s="25">
        <v>323.70600000000002</v>
      </c>
      <c r="AE28" s="20">
        <f t="shared" si="6"/>
        <v>1548.9</v>
      </c>
      <c r="AF28" s="20">
        <v>0</v>
      </c>
      <c r="AG28" s="237"/>
      <c r="AH28" s="47">
        <f t="shared" si="7"/>
        <v>1467.39528</v>
      </c>
      <c r="AI28" s="55">
        <v>1478.2159080000001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30414</v>
      </c>
      <c r="F29" s="20">
        <f t="shared" si="1"/>
        <v>3296.6280000000002</v>
      </c>
      <c r="G29" s="20">
        <f t="shared" si="2"/>
        <v>2081.3000000000002</v>
      </c>
      <c r="H29" s="20">
        <v>1598.54</v>
      </c>
      <c r="I29" s="30"/>
      <c r="J29" s="30"/>
      <c r="K29" s="20">
        <f t="shared" si="3"/>
        <v>482.76</v>
      </c>
      <c r="L29" s="30">
        <v>0</v>
      </c>
      <c r="M29" s="21">
        <v>237.83</v>
      </c>
      <c r="N29" s="30">
        <v>0</v>
      </c>
      <c r="O29" s="30">
        <v>72.3</v>
      </c>
      <c r="P29" s="26">
        <v>0</v>
      </c>
      <c r="Q29" s="30">
        <v>154.91</v>
      </c>
      <c r="R29" s="30">
        <v>107.74</v>
      </c>
      <c r="S29" s="30">
        <v>94.26</v>
      </c>
      <c r="T29" s="30">
        <v>65.02</v>
      </c>
      <c r="U29" s="20">
        <v>0</v>
      </c>
      <c r="V29" s="30">
        <v>30.03</v>
      </c>
      <c r="W29" s="30">
        <v>0</v>
      </c>
      <c r="X29" s="20">
        <f t="shared" si="4"/>
        <v>373.7</v>
      </c>
      <c r="Y29" s="27">
        <v>287.02</v>
      </c>
      <c r="Z29" s="30"/>
      <c r="AA29" s="30"/>
      <c r="AB29" s="20">
        <f t="shared" si="5"/>
        <v>86.68</v>
      </c>
      <c r="AC29" s="25">
        <v>0</v>
      </c>
      <c r="AD29" s="25">
        <v>151.83799999999999</v>
      </c>
      <c r="AE29" s="20">
        <f t="shared" si="6"/>
        <v>100263.6</v>
      </c>
      <c r="AF29" s="31">
        <v>538.6</v>
      </c>
      <c r="AG29" s="237">
        <f>ROUND(AE29+AE30+AE31+AF29,1)</f>
        <v>102661.6</v>
      </c>
      <c r="AH29" s="47">
        <f t="shared" si="7"/>
        <v>74666.37</v>
      </c>
      <c r="AI29" s="55">
        <v>75217.045884000006</v>
      </c>
      <c r="AJ29" s="6"/>
      <c r="AK29" s="55">
        <f>ROUND(AG29/1000,1)</f>
        <v>102.7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121</v>
      </c>
      <c r="F30" s="20">
        <f t="shared" si="1"/>
        <v>10496.749</v>
      </c>
      <c r="G30" s="20">
        <f t="shared" si="2"/>
        <v>6185.37</v>
      </c>
      <c r="H30" s="20">
        <v>4750.67</v>
      </c>
      <c r="I30" s="30"/>
      <c r="J30" s="30"/>
      <c r="K30" s="20">
        <f t="shared" si="3"/>
        <v>1434.7</v>
      </c>
      <c r="L30" s="30">
        <v>0</v>
      </c>
      <c r="M30" s="30">
        <v>739.17</v>
      </c>
      <c r="N30" s="30">
        <v>0</v>
      </c>
      <c r="O30" s="30">
        <v>630.9</v>
      </c>
      <c r="P30" s="26">
        <v>0</v>
      </c>
      <c r="Q30" s="30">
        <v>48.85</v>
      </c>
      <c r="R30" s="30">
        <v>191.98</v>
      </c>
      <c r="S30" s="30">
        <v>407.04</v>
      </c>
      <c r="T30" s="30">
        <v>391.67</v>
      </c>
      <c r="U30" s="20">
        <v>0</v>
      </c>
      <c r="V30" s="30">
        <v>230.38</v>
      </c>
      <c r="W30" s="30">
        <v>0</v>
      </c>
      <c r="X30" s="20">
        <f t="shared" si="4"/>
        <v>1690.07</v>
      </c>
      <c r="Y30" s="27">
        <v>1298.06</v>
      </c>
      <c r="Z30" s="30"/>
      <c r="AA30" s="30"/>
      <c r="AB30" s="20">
        <f t="shared" si="5"/>
        <v>392.01</v>
      </c>
      <c r="AC30" s="25">
        <v>0</v>
      </c>
      <c r="AD30" s="25">
        <v>612.21900000000005</v>
      </c>
      <c r="AE30" s="20">
        <f t="shared" si="6"/>
        <v>1270.0999999999999</v>
      </c>
      <c r="AF30" s="31">
        <v>0</v>
      </c>
      <c r="AG30" s="237"/>
      <c r="AH30" s="47">
        <f t="shared" si="7"/>
        <v>952.92823999999996</v>
      </c>
      <c r="AI30" s="55">
        <v>959.95458900000006</v>
      </c>
      <c r="AJ30" s="6"/>
      <c r="AK30" s="7"/>
      <c r="AM30" s="8"/>
    </row>
    <row r="31" spans="1:39" s="1" customFormat="1" ht="56.25" x14ac:dyDescent="0.25">
      <c r="A31" s="23" t="s">
        <v>51</v>
      </c>
      <c r="B31" s="17" t="s">
        <v>41</v>
      </c>
      <c r="C31" s="79" t="s">
        <v>42</v>
      </c>
      <c r="D31" s="28" t="s">
        <v>38</v>
      </c>
      <c r="E31" s="19">
        <v>2</v>
      </c>
      <c r="F31" s="20">
        <f t="shared" si="1"/>
        <v>294650.86200000002</v>
      </c>
      <c r="G31" s="20">
        <f t="shared" si="2"/>
        <v>162434.49</v>
      </c>
      <c r="H31" s="20">
        <v>124757.67</v>
      </c>
      <c r="I31" s="20">
        <v>0</v>
      </c>
      <c r="J31" s="20">
        <v>0</v>
      </c>
      <c r="K31" s="20">
        <f t="shared" si="3"/>
        <v>37676.82</v>
      </c>
      <c r="L31" s="20">
        <v>0</v>
      </c>
      <c r="M31" s="20">
        <v>28604.5</v>
      </c>
      <c r="N31" s="20">
        <v>0</v>
      </c>
      <c r="O31" s="20">
        <v>7094.16</v>
      </c>
      <c r="P31" s="20">
        <v>0</v>
      </c>
      <c r="Q31" s="20">
        <v>13086.7</v>
      </c>
      <c r="R31" s="20">
        <v>14976.93</v>
      </c>
      <c r="S31" s="20">
        <v>3013</v>
      </c>
      <c r="T31" s="20">
        <v>6332.34</v>
      </c>
      <c r="U31" s="20">
        <v>0</v>
      </c>
      <c r="V31" s="20">
        <v>4430.16</v>
      </c>
      <c r="W31" s="20">
        <v>0</v>
      </c>
      <c r="X31" s="20">
        <f t="shared" si="4"/>
        <v>34540.840000000004</v>
      </c>
      <c r="Y31" s="20">
        <v>26529.06</v>
      </c>
      <c r="Z31" s="20">
        <v>0</v>
      </c>
      <c r="AA31" s="20">
        <v>0</v>
      </c>
      <c r="AB31" s="20">
        <f t="shared" si="5"/>
        <v>8011.78</v>
      </c>
      <c r="AC31" s="25">
        <v>0</v>
      </c>
      <c r="AD31" s="25">
        <v>27231.901999999998</v>
      </c>
      <c r="AE31" s="20">
        <f t="shared" si="6"/>
        <v>589.29999999999995</v>
      </c>
      <c r="AF31" s="20">
        <v>0</v>
      </c>
      <c r="AG31" s="237"/>
      <c r="AH31" s="47">
        <f t="shared" si="7"/>
        <v>393.95065999999997</v>
      </c>
      <c r="AI31" s="55">
        <v>396.85567599999996</v>
      </c>
      <c r="AJ31" s="6"/>
      <c r="AK31" s="7"/>
      <c r="AM31" s="8"/>
    </row>
    <row r="32" spans="1:39" s="1" customFormat="1" ht="78.75" x14ac:dyDescent="0.25">
      <c r="A32" s="77" t="s">
        <v>52</v>
      </c>
      <c r="B32" s="17" t="s">
        <v>36</v>
      </c>
      <c r="C32" s="17" t="s">
        <v>37</v>
      </c>
      <c r="D32" s="17" t="s">
        <v>53</v>
      </c>
      <c r="E32" s="19">
        <v>211</v>
      </c>
      <c r="F32" s="20">
        <f t="shared" si="1"/>
        <v>5496.2269999999999</v>
      </c>
      <c r="G32" s="20">
        <f t="shared" si="2"/>
        <v>2553.63</v>
      </c>
      <c r="H32" s="20">
        <v>1961.31</v>
      </c>
      <c r="I32" s="20">
        <v>0</v>
      </c>
      <c r="J32" s="20">
        <v>0</v>
      </c>
      <c r="K32" s="20">
        <f t="shared" si="3"/>
        <v>592.32000000000005</v>
      </c>
      <c r="L32" s="20">
        <v>0</v>
      </c>
      <c r="M32" s="20">
        <v>382.31</v>
      </c>
      <c r="N32" s="20">
        <v>0</v>
      </c>
      <c r="O32" s="20">
        <v>0</v>
      </c>
      <c r="P32" s="32">
        <v>0</v>
      </c>
      <c r="Q32" s="20">
        <v>1005.02</v>
      </c>
      <c r="R32" s="20">
        <v>26.6</v>
      </c>
      <c r="S32" s="20">
        <v>0</v>
      </c>
      <c r="T32" s="20">
        <v>0</v>
      </c>
      <c r="U32" s="20">
        <v>0</v>
      </c>
      <c r="V32" s="20">
        <v>38.67</v>
      </c>
      <c r="W32" s="20">
        <v>34.630000000000003</v>
      </c>
      <c r="X32" s="20">
        <f t="shared" si="4"/>
        <v>1133.22</v>
      </c>
      <c r="Y32" s="27">
        <v>870.37</v>
      </c>
      <c r="Z32" s="20">
        <v>0</v>
      </c>
      <c r="AA32" s="20">
        <v>0</v>
      </c>
      <c r="AB32" s="20">
        <f t="shared" si="5"/>
        <v>262.85000000000002</v>
      </c>
      <c r="AC32" s="20">
        <v>0</v>
      </c>
      <c r="AD32" s="20">
        <v>322.14699999999999</v>
      </c>
      <c r="AE32" s="20">
        <f t="shared" si="6"/>
        <v>1159.7</v>
      </c>
      <c r="AF32" s="25">
        <v>295.8</v>
      </c>
      <c r="AG32" s="237">
        <f>ROUND(AE32+AE33+AF32,1)</f>
        <v>8818.9</v>
      </c>
      <c r="AH32" s="47">
        <f t="shared" si="7"/>
        <v>777.92535000000009</v>
      </c>
      <c r="AI32" s="55">
        <v>783.66117399999996</v>
      </c>
      <c r="AJ32" s="6"/>
      <c r="AK32" s="55">
        <f>ROUND(AG32/1000,1)</f>
        <v>8.8000000000000007</v>
      </c>
      <c r="AM32" s="8"/>
    </row>
    <row r="33" spans="1:39" s="1" customFormat="1" ht="63" x14ac:dyDescent="0.25">
      <c r="A33" s="77" t="s">
        <v>52</v>
      </c>
      <c r="B33" s="17" t="s">
        <v>39</v>
      </c>
      <c r="C33" s="17" t="s">
        <v>40</v>
      </c>
      <c r="D33" s="17" t="s">
        <v>53</v>
      </c>
      <c r="E33" s="19">
        <v>62</v>
      </c>
      <c r="F33" s="20">
        <f t="shared" si="1"/>
        <v>118765.01199999997</v>
      </c>
      <c r="G33" s="20">
        <f t="shared" si="2"/>
        <v>36611.509999999995</v>
      </c>
      <c r="H33" s="20">
        <v>28119.439999999999</v>
      </c>
      <c r="I33" s="20">
        <v>0</v>
      </c>
      <c r="J33" s="20">
        <v>0</v>
      </c>
      <c r="K33" s="20">
        <f t="shared" si="3"/>
        <v>8492.07</v>
      </c>
      <c r="L33" s="20">
        <v>0</v>
      </c>
      <c r="M33" s="20">
        <v>100.06</v>
      </c>
      <c r="N33" s="20">
        <v>0</v>
      </c>
      <c r="O33" s="20">
        <v>0</v>
      </c>
      <c r="P33" s="32">
        <v>0</v>
      </c>
      <c r="Q33" s="20">
        <v>3029.65</v>
      </c>
      <c r="R33" s="20">
        <v>1449.89</v>
      </c>
      <c r="S33" s="20">
        <v>38545.279999999999</v>
      </c>
      <c r="T33" s="20">
        <v>26478.15</v>
      </c>
      <c r="U33" s="20">
        <v>0</v>
      </c>
      <c r="V33" s="20">
        <v>3188.47</v>
      </c>
      <c r="W33" s="20">
        <v>270.01</v>
      </c>
      <c r="X33" s="20">
        <f t="shared" si="4"/>
        <v>8974.5300000000007</v>
      </c>
      <c r="Y33" s="27">
        <v>6892.88</v>
      </c>
      <c r="Z33" s="20">
        <v>0</v>
      </c>
      <c r="AA33" s="20">
        <v>0</v>
      </c>
      <c r="AB33" s="20">
        <f t="shared" si="5"/>
        <v>2081.65</v>
      </c>
      <c r="AC33" s="20">
        <v>0</v>
      </c>
      <c r="AD33" s="20">
        <v>117.462</v>
      </c>
      <c r="AE33" s="20">
        <f t="shared" si="6"/>
        <v>7363.4</v>
      </c>
      <c r="AF33" s="25">
        <v>0</v>
      </c>
      <c r="AG33" s="237"/>
      <c r="AH33" s="47">
        <f t="shared" si="7"/>
        <v>2826.3344799999995</v>
      </c>
      <c r="AI33" s="55">
        <v>2847.175718</v>
      </c>
      <c r="AJ33" s="6"/>
      <c r="AK33" s="7"/>
      <c r="AM33" s="8"/>
    </row>
    <row r="34" spans="1:39" s="1" customFormat="1" ht="78.75" x14ac:dyDescent="0.25">
      <c r="A34" s="77" t="s">
        <v>54</v>
      </c>
      <c r="B34" s="17" t="s">
        <v>49</v>
      </c>
      <c r="C34" s="17" t="s">
        <v>37</v>
      </c>
      <c r="D34" s="17" t="s">
        <v>45</v>
      </c>
      <c r="E34" s="19">
        <v>2037</v>
      </c>
      <c r="F34" s="20">
        <f t="shared" si="1"/>
        <v>2024.4480000000001</v>
      </c>
      <c r="G34" s="20">
        <f t="shared" si="2"/>
        <v>732.80000000000007</v>
      </c>
      <c r="H34" s="20">
        <v>562.83000000000004</v>
      </c>
      <c r="I34" s="25">
        <v>0</v>
      </c>
      <c r="J34" s="25">
        <v>0</v>
      </c>
      <c r="K34" s="20">
        <f t="shared" si="3"/>
        <v>169.97</v>
      </c>
      <c r="L34" s="25">
        <v>0</v>
      </c>
      <c r="M34" s="25">
        <v>89.28</v>
      </c>
      <c r="N34" s="25">
        <v>0</v>
      </c>
      <c r="O34" s="25">
        <v>0</v>
      </c>
      <c r="P34" s="26">
        <v>0</v>
      </c>
      <c r="Q34" s="25">
        <v>82.67</v>
      </c>
      <c r="R34" s="25">
        <v>45.01</v>
      </c>
      <c r="S34" s="25">
        <v>77.02</v>
      </c>
      <c r="T34" s="25">
        <v>343.43</v>
      </c>
      <c r="U34" s="20">
        <v>0</v>
      </c>
      <c r="V34" s="27">
        <v>13.64</v>
      </c>
      <c r="W34" s="27">
        <v>3.58</v>
      </c>
      <c r="X34" s="20">
        <f t="shared" si="4"/>
        <v>464.06</v>
      </c>
      <c r="Y34" s="27">
        <v>356.42</v>
      </c>
      <c r="Z34" s="27">
        <v>0</v>
      </c>
      <c r="AA34" s="27">
        <v>0</v>
      </c>
      <c r="AB34" s="20">
        <f t="shared" si="5"/>
        <v>107.64</v>
      </c>
      <c r="AC34" s="25">
        <v>0</v>
      </c>
      <c r="AD34" s="25">
        <v>172.958</v>
      </c>
      <c r="AE34" s="20">
        <f t="shared" si="6"/>
        <v>4123.8</v>
      </c>
      <c r="AF34" s="25">
        <v>276.2</v>
      </c>
      <c r="AG34" s="237">
        <f>ROUND(AE34+AE35+AF34,1)</f>
        <v>4959.7</v>
      </c>
      <c r="AH34" s="47">
        <f t="shared" si="7"/>
        <v>2438.0038200000004</v>
      </c>
      <c r="AI34" s="55">
        <v>2455.994604</v>
      </c>
      <c r="AJ34" s="6"/>
      <c r="AK34" s="55">
        <f>ROUND(AG34/1000,1)</f>
        <v>5</v>
      </c>
      <c r="AM34" s="8"/>
    </row>
    <row r="35" spans="1:39" s="1" customFormat="1" ht="63" x14ac:dyDescent="0.25">
      <c r="A35" s="77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55971.62</v>
      </c>
      <c r="G35" s="20">
        <f t="shared" si="2"/>
        <v>25641.02</v>
      </c>
      <c r="H35" s="20">
        <v>19693.560000000001</v>
      </c>
      <c r="I35" s="25">
        <v>0</v>
      </c>
      <c r="J35" s="25">
        <v>0</v>
      </c>
      <c r="K35" s="20">
        <f t="shared" si="3"/>
        <v>5947.46</v>
      </c>
      <c r="L35" s="25">
        <v>0</v>
      </c>
      <c r="M35" s="25">
        <v>737.95</v>
      </c>
      <c r="N35" s="25">
        <v>0</v>
      </c>
      <c r="O35" s="25">
        <v>688.69</v>
      </c>
      <c r="P35" s="26">
        <v>0</v>
      </c>
      <c r="Q35" s="25">
        <v>1499.47</v>
      </c>
      <c r="R35" s="25">
        <v>1784.35</v>
      </c>
      <c r="S35" s="25">
        <v>2852.63</v>
      </c>
      <c r="T35" s="25">
        <v>8084.49</v>
      </c>
      <c r="U35" s="20">
        <v>0</v>
      </c>
      <c r="V35" s="27">
        <v>1636.11</v>
      </c>
      <c r="W35" s="27">
        <v>1044.27</v>
      </c>
      <c r="X35" s="20">
        <f t="shared" si="4"/>
        <v>10118.57</v>
      </c>
      <c r="Y35" s="27">
        <v>7771.56</v>
      </c>
      <c r="Z35" s="27">
        <v>0</v>
      </c>
      <c r="AA35" s="27">
        <v>0</v>
      </c>
      <c r="AB35" s="20">
        <f t="shared" si="5"/>
        <v>2347.0100000000002</v>
      </c>
      <c r="AC35" s="25">
        <v>0</v>
      </c>
      <c r="AD35" s="25">
        <v>2572.7600000000002</v>
      </c>
      <c r="AE35" s="20">
        <f t="shared" si="6"/>
        <v>559.70000000000005</v>
      </c>
      <c r="AF35" s="27">
        <v>0</v>
      </c>
      <c r="AG35" s="237"/>
      <c r="AH35" s="47">
        <f t="shared" si="7"/>
        <v>357.59589999999997</v>
      </c>
      <c r="AI35" s="55">
        <v>360.23282</v>
      </c>
      <c r="AJ35" s="6"/>
      <c r="AK35" s="7"/>
      <c r="AM35" s="8"/>
    </row>
    <row r="36" spans="1:39" s="1" customFormat="1" ht="78.75" x14ac:dyDescent="0.25">
      <c r="A36" s="77" t="s">
        <v>55</v>
      </c>
      <c r="B36" s="17" t="s">
        <v>56</v>
      </c>
      <c r="C36" s="17" t="s">
        <v>37</v>
      </c>
      <c r="D36" s="18" t="s">
        <v>53</v>
      </c>
      <c r="E36" s="19">
        <v>3627</v>
      </c>
      <c r="F36" s="20">
        <f t="shared" si="1"/>
        <v>2532.0879999999997</v>
      </c>
      <c r="G36" s="20">
        <f t="shared" si="2"/>
        <v>980.82</v>
      </c>
      <c r="H36" s="20">
        <v>753.32</v>
      </c>
      <c r="I36" s="25"/>
      <c r="J36" s="25"/>
      <c r="K36" s="20">
        <f t="shared" si="3"/>
        <v>227.5</v>
      </c>
      <c r="L36" s="25">
        <v>0</v>
      </c>
      <c r="M36" s="25">
        <v>561.79999999999995</v>
      </c>
      <c r="N36" s="25">
        <v>0</v>
      </c>
      <c r="O36" s="25">
        <v>44.97</v>
      </c>
      <c r="P36" s="26">
        <v>0</v>
      </c>
      <c r="Q36" s="25">
        <v>83.59</v>
      </c>
      <c r="R36" s="25">
        <v>148.34</v>
      </c>
      <c r="S36" s="25">
        <v>42.8</v>
      </c>
      <c r="T36" s="25">
        <v>45.49</v>
      </c>
      <c r="U36" s="20">
        <v>0</v>
      </c>
      <c r="V36" s="25">
        <v>8.14</v>
      </c>
      <c r="W36" s="25">
        <v>0</v>
      </c>
      <c r="X36" s="20">
        <f t="shared" si="4"/>
        <v>605.08000000000004</v>
      </c>
      <c r="Y36" s="27">
        <v>464.68</v>
      </c>
      <c r="Z36" s="25"/>
      <c r="AA36" s="25"/>
      <c r="AB36" s="20">
        <f t="shared" si="5"/>
        <v>140.33000000000001</v>
      </c>
      <c r="AC36" s="25">
        <v>7.0000000000000007E-2</v>
      </c>
      <c r="AD36" s="25">
        <v>56.027999999999999</v>
      </c>
      <c r="AE36" s="20">
        <f t="shared" si="6"/>
        <v>9183.9</v>
      </c>
      <c r="AF36" s="25">
        <v>97.4</v>
      </c>
      <c r="AG36" s="237">
        <f>ROUND(AE36+AE37+AF36,1)</f>
        <v>10217.799999999999</v>
      </c>
      <c r="AH36" s="47">
        <f t="shared" si="7"/>
        <v>5752.0593000000008</v>
      </c>
      <c r="AI36" s="55">
        <v>5794.4761884579329</v>
      </c>
      <c r="AJ36" s="6"/>
      <c r="AK36" s="55">
        <f>ROUND(AG36/1000,1)</f>
        <v>10.199999999999999</v>
      </c>
      <c r="AM36" s="8"/>
    </row>
    <row r="37" spans="1:39" s="1" customFormat="1" ht="63" x14ac:dyDescent="0.25">
      <c r="A37" s="77" t="s">
        <v>55</v>
      </c>
      <c r="B37" s="33" t="s">
        <v>57</v>
      </c>
      <c r="C37" s="17" t="s">
        <v>40</v>
      </c>
      <c r="D37" s="18" t="s">
        <v>45</v>
      </c>
      <c r="E37" s="19">
        <v>51</v>
      </c>
      <c r="F37" s="20">
        <f t="shared" si="1"/>
        <v>18361.863000000001</v>
      </c>
      <c r="G37" s="20">
        <f t="shared" si="2"/>
        <v>6836.62</v>
      </c>
      <c r="H37" s="20">
        <v>5250.86</v>
      </c>
      <c r="I37" s="25"/>
      <c r="J37" s="25"/>
      <c r="K37" s="20">
        <f t="shared" si="3"/>
        <v>1585.76</v>
      </c>
      <c r="L37" s="25">
        <v>0</v>
      </c>
      <c r="M37" s="25">
        <v>484.29</v>
      </c>
      <c r="N37" s="25">
        <v>0</v>
      </c>
      <c r="O37" s="25">
        <v>266.63</v>
      </c>
      <c r="P37" s="26">
        <v>0</v>
      </c>
      <c r="Q37" s="25">
        <v>20.49</v>
      </c>
      <c r="R37" s="25">
        <v>178.32</v>
      </c>
      <c r="S37" s="25">
        <v>716.61</v>
      </c>
      <c r="T37" s="25">
        <v>114.32</v>
      </c>
      <c r="U37" s="20">
        <v>0</v>
      </c>
      <c r="V37" s="25">
        <v>48.22</v>
      </c>
      <c r="W37" s="25">
        <v>0</v>
      </c>
      <c r="X37" s="20">
        <f t="shared" si="4"/>
        <v>9566.0800000000017</v>
      </c>
      <c r="Y37" s="27">
        <v>7346.68</v>
      </c>
      <c r="Z37" s="25"/>
      <c r="AA37" s="25"/>
      <c r="AB37" s="20">
        <f t="shared" si="5"/>
        <v>2218.6999999999998</v>
      </c>
      <c r="AC37" s="25">
        <v>0.7</v>
      </c>
      <c r="AD37" s="25">
        <v>396.91300000000001</v>
      </c>
      <c r="AE37" s="20">
        <f t="shared" si="6"/>
        <v>936.5</v>
      </c>
      <c r="AF37" s="25">
        <v>0</v>
      </c>
      <c r="AG37" s="237"/>
      <c r="AH37" s="47">
        <f t="shared" si="7"/>
        <v>836.53770000000009</v>
      </c>
      <c r="AI37" s="55">
        <v>842.70648789218319</v>
      </c>
      <c r="AJ37" s="6"/>
      <c r="AK37" s="7"/>
      <c r="AM37" s="8"/>
    </row>
    <row r="38" spans="1:39" s="1" customFormat="1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30</v>
      </c>
      <c r="F38" s="20">
        <f t="shared" si="1"/>
        <v>97541.053999999989</v>
      </c>
      <c r="G38" s="20">
        <f t="shared" si="2"/>
        <v>48510.09</v>
      </c>
      <c r="H38" s="20">
        <v>37258.129999999997</v>
      </c>
      <c r="I38" s="25">
        <v>0</v>
      </c>
      <c r="J38" s="25">
        <v>0</v>
      </c>
      <c r="K38" s="20">
        <f t="shared" si="3"/>
        <v>11251.96</v>
      </c>
      <c r="L38" s="25">
        <v>0</v>
      </c>
      <c r="M38" s="25">
        <v>5118.01</v>
      </c>
      <c r="N38" s="25">
        <v>3259.87</v>
      </c>
      <c r="O38" s="25">
        <v>1059.47</v>
      </c>
      <c r="P38" s="25">
        <v>0</v>
      </c>
      <c r="Q38" s="25">
        <v>1206.1600000000001</v>
      </c>
      <c r="R38" s="25">
        <v>9684.6200000000008</v>
      </c>
      <c r="S38" s="25">
        <v>2884.98</v>
      </c>
      <c r="T38" s="25">
        <v>977.96</v>
      </c>
      <c r="U38" s="20">
        <v>0</v>
      </c>
      <c r="V38" s="25">
        <v>3540.23</v>
      </c>
      <c r="W38" s="25">
        <v>0</v>
      </c>
      <c r="X38" s="20">
        <f t="shared" si="4"/>
        <v>22754.35</v>
      </c>
      <c r="Y38" s="27">
        <v>17476.46</v>
      </c>
      <c r="Z38" s="25"/>
      <c r="AA38" s="25"/>
      <c r="AB38" s="20">
        <f t="shared" si="5"/>
        <v>5277.89</v>
      </c>
      <c r="AC38" s="25">
        <v>0</v>
      </c>
      <c r="AD38" s="25">
        <v>2864.654</v>
      </c>
      <c r="AE38" s="20">
        <f t="shared" si="6"/>
        <v>2926.2</v>
      </c>
      <c r="AF38" s="20">
        <v>164.4</v>
      </c>
      <c r="AG38" s="75">
        <f>ROUND(AE38+AF38,1)</f>
        <v>3090.6</v>
      </c>
      <c r="AH38" s="47">
        <f t="shared" si="7"/>
        <v>2137.9332000000004</v>
      </c>
      <c r="AI38" s="55">
        <v>2153.6983500000001</v>
      </c>
      <c r="AJ38" s="6"/>
      <c r="AK38" s="55">
        <f>ROUND(AG38/1000,1)</f>
        <v>3.1</v>
      </c>
      <c r="AM38" s="8"/>
    </row>
    <row r="39" spans="1:39" s="1" customFormat="1" ht="63" x14ac:dyDescent="0.25">
      <c r="A39" s="77" t="s">
        <v>59</v>
      </c>
      <c r="B39" s="17" t="s">
        <v>39</v>
      </c>
      <c r="C39" s="17" t="s">
        <v>40</v>
      </c>
      <c r="D39" s="17" t="s">
        <v>45</v>
      </c>
      <c r="E39" s="19">
        <v>17</v>
      </c>
      <c r="F39" s="20">
        <f t="shared" si="1"/>
        <v>80190.081000000006</v>
      </c>
      <c r="G39" s="20">
        <f t="shared" si="2"/>
        <v>50810.66</v>
      </c>
      <c r="H39" s="20">
        <v>38585.78</v>
      </c>
      <c r="I39" s="25"/>
      <c r="J39" s="25"/>
      <c r="K39" s="20">
        <f t="shared" si="3"/>
        <v>11652.91</v>
      </c>
      <c r="L39" s="25">
        <v>571.97</v>
      </c>
      <c r="M39" s="25">
        <v>380.96</v>
      </c>
      <c r="N39" s="25">
        <v>0</v>
      </c>
      <c r="O39" s="25">
        <v>29.9</v>
      </c>
      <c r="P39" s="26">
        <v>0</v>
      </c>
      <c r="Q39" s="25">
        <v>0</v>
      </c>
      <c r="R39" s="25">
        <v>1333.64</v>
      </c>
      <c r="S39" s="25">
        <v>12771.28</v>
      </c>
      <c r="T39" s="25">
        <v>1765.68</v>
      </c>
      <c r="U39" s="20">
        <v>0</v>
      </c>
      <c r="V39" s="25">
        <v>319.86</v>
      </c>
      <c r="W39" s="25">
        <v>0</v>
      </c>
      <c r="X39" s="20">
        <f t="shared" si="4"/>
        <v>10541.470000000001</v>
      </c>
      <c r="Y39" s="27">
        <v>7901.59</v>
      </c>
      <c r="Z39" s="25"/>
      <c r="AA39" s="25"/>
      <c r="AB39" s="20">
        <f t="shared" si="5"/>
        <v>2386.2800000000002</v>
      </c>
      <c r="AC39" s="25">
        <v>253.6</v>
      </c>
      <c r="AD39" s="25">
        <v>2266.5309999999999</v>
      </c>
      <c r="AE39" s="51">
        <f t="shared" si="6"/>
        <v>1363.2</v>
      </c>
      <c r="AF39" s="52">
        <v>165.4</v>
      </c>
      <c r="AG39" s="76">
        <f>ROUND(AE39+AF39,1)</f>
        <v>1528.6</v>
      </c>
      <c r="AH39" s="47">
        <f t="shared" si="7"/>
        <v>1042.98621</v>
      </c>
      <c r="AI39" s="55">
        <v>1050.6769948888889</v>
      </c>
      <c r="AJ39" s="6"/>
      <c r="AK39" s="55">
        <f>ROUND(AG39/1000,1)</f>
        <v>1.5</v>
      </c>
      <c r="AM39" s="8"/>
    </row>
    <row r="40" spans="1:39" s="1" customFormat="1" ht="63" x14ac:dyDescent="0.25">
      <c r="A40" s="257" t="s">
        <v>60</v>
      </c>
      <c r="B40" s="78" t="s">
        <v>61</v>
      </c>
      <c r="C40" s="78" t="s">
        <v>62</v>
      </c>
      <c r="D40" s="78" t="s">
        <v>45</v>
      </c>
      <c r="E40" s="19">
        <v>496</v>
      </c>
      <c r="F40" s="20">
        <f>SUM(G40,M40,Q40,R40,S40,T40,V40,W40,X40,AD40,P40,U40)</f>
        <v>17102.309999999998</v>
      </c>
      <c r="G40" s="20">
        <f>SUM(H40:L40)</f>
        <v>7070.2000000000007</v>
      </c>
      <c r="H40" s="20">
        <v>5430.26</v>
      </c>
      <c r="I40" s="20"/>
      <c r="J40" s="20"/>
      <c r="K40" s="20">
        <f>ROUND(H40*0.302,2)</f>
        <v>1639.94</v>
      </c>
      <c r="L40" s="20">
        <v>0</v>
      </c>
      <c r="M40" s="20">
        <v>785.2</v>
      </c>
      <c r="N40" s="20">
        <v>0</v>
      </c>
      <c r="O40" s="20">
        <v>0</v>
      </c>
      <c r="P40" s="20">
        <v>0</v>
      </c>
      <c r="Q40" s="20">
        <v>257.02</v>
      </c>
      <c r="R40" s="20">
        <v>1007.95</v>
      </c>
      <c r="S40" s="20">
        <v>1125.78</v>
      </c>
      <c r="T40" s="20">
        <v>110.3</v>
      </c>
      <c r="U40" s="20">
        <v>0</v>
      </c>
      <c r="V40" s="20">
        <v>461.49</v>
      </c>
      <c r="W40" s="20">
        <v>2.31</v>
      </c>
      <c r="X40" s="20">
        <f>SUM(Y40:AC40)</f>
        <v>5404.71</v>
      </c>
      <c r="Y40" s="27">
        <v>4151.08</v>
      </c>
      <c r="Z40" s="20"/>
      <c r="AA40" s="20"/>
      <c r="AB40" s="20">
        <f>ROUND(Y40*0.302,2)</f>
        <v>1253.6300000000001</v>
      </c>
      <c r="AC40" s="25">
        <v>0</v>
      </c>
      <c r="AD40" s="96">
        <v>877.35</v>
      </c>
      <c r="AE40" s="94">
        <f t="shared" si="6"/>
        <v>8482.7000000000007</v>
      </c>
      <c r="AF40" s="94">
        <v>4.0999999999999996</v>
      </c>
      <c r="AG40" s="256">
        <f>SUM(AE40:AF43)</f>
        <v>19319.400000000001</v>
      </c>
      <c r="AH40" s="55">
        <f t="shared" si="7"/>
        <v>6187.5553600000003</v>
      </c>
      <c r="AI40" s="55">
        <v>6233.1774399999995</v>
      </c>
      <c r="AJ40" s="6">
        <f>AE40+AF40</f>
        <v>8486.8000000000011</v>
      </c>
      <c r="AK40" s="55">
        <f>ROUND(AJ40/1000,1)</f>
        <v>8.5</v>
      </c>
      <c r="AM40" s="8"/>
    </row>
    <row r="41" spans="1:39" s="1" customFormat="1" ht="120" x14ac:dyDescent="0.25">
      <c r="A41" s="258"/>
      <c r="B41" s="86" t="s">
        <v>82</v>
      </c>
      <c r="C41" s="39" t="s">
        <v>64</v>
      </c>
      <c r="D41" s="38" t="s">
        <v>65</v>
      </c>
      <c r="E41" s="40">
        <v>1734</v>
      </c>
      <c r="F41" s="41">
        <f>SUM(G41,M41,Q41,R41,S41,T41,V41,W41,X41,AD41,P41,U41)</f>
        <v>2277.13</v>
      </c>
      <c r="G41" s="41">
        <f>SUM(H41:L41)</f>
        <v>1138.8600000000001</v>
      </c>
      <c r="H41" s="41">
        <v>874.7</v>
      </c>
      <c r="I41" s="42"/>
      <c r="J41" s="41"/>
      <c r="K41" s="41">
        <f>ROUND(H41*0.302,2)</f>
        <v>264.16000000000003</v>
      </c>
      <c r="L41" s="41">
        <v>0</v>
      </c>
      <c r="M41" s="42">
        <v>23.18</v>
      </c>
      <c r="N41" s="42">
        <v>0</v>
      </c>
      <c r="O41" s="42">
        <v>8.2100000000000009</v>
      </c>
      <c r="P41" s="42">
        <v>0</v>
      </c>
      <c r="Q41" s="42">
        <v>0</v>
      </c>
      <c r="R41" s="41">
        <v>10.75</v>
      </c>
      <c r="S41" s="42">
        <v>24.96</v>
      </c>
      <c r="T41" s="41">
        <v>43.95</v>
      </c>
      <c r="U41" s="41">
        <v>0</v>
      </c>
      <c r="V41" s="42">
        <v>31.72</v>
      </c>
      <c r="W41" s="41">
        <v>25.79</v>
      </c>
      <c r="X41" s="41">
        <f>SUM(Y41:AC41)</f>
        <v>527.70000000000005</v>
      </c>
      <c r="Y41" s="43">
        <v>405.3</v>
      </c>
      <c r="Z41" s="42">
        <v>0</v>
      </c>
      <c r="AA41" s="41">
        <v>0</v>
      </c>
      <c r="AB41" s="41">
        <f>ROUND(Y41*0.302,2)</f>
        <v>122.4</v>
      </c>
      <c r="AC41" s="42">
        <v>0</v>
      </c>
      <c r="AD41" s="97">
        <v>450.22</v>
      </c>
      <c r="AE41" s="94">
        <f t="shared" si="6"/>
        <v>3948.5</v>
      </c>
      <c r="AF41" s="95">
        <v>52.7</v>
      </c>
      <c r="AG41" s="256"/>
      <c r="AH41" s="55">
        <f t="shared" si="7"/>
        <v>2889.8150400000004</v>
      </c>
      <c r="AI41" s="55">
        <v>7947.6948359999988</v>
      </c>
      <c r="AJ41" s="6">
        <f>AE41+AF41</f>
        <v>4001.2</v>
      </c>
      <c r="AK41" s="55">
        <f>ROUND(AJ41/1000,1)</f>
        <v>4</v>
      </c>
      <c r="AM41" s="8"/>
    </row>
    <row r="42" spans="1:39" s="1" customFormat="1" ht="180" x14ac:dyDescent="0.25">
      <c r="A42" s="258"/>
      <c r="B42" s="88" t="s">
        <v>83</v>
      </c>
      <c r="C42" s="39" t="s">
        <v>64</v>
      </c>
      <c r="D42" s="38" t="s">
        <v>65</v>
      </c>
      <c r="E42" s="89">
        <v>1000</v>
      </c>
      <c r="F42" s="41">
        <f>SUM(G42,M42,Q42,R42,S42,T42,V42,W42,X42,AD42,P42,U42)</f>
        <v>2277.13</v>
      </c>
      <c r="G42" s="41">
        <f>SUM(H42:L42)</f>
        <v>1138.8600000000001</v>
      </c>
      <c r="H42" s="41">
        <v>874.7</v>
      </c>
      <c r="I42" s="42"/>
      <c r="J42" s="41"/>
      <c r="K42" s="41">
        <f>ROUND(H42*0.302,2)</f>
        <v>264.16000000000003</v>
      </c>
      <c r="L42" s="41">
        <v>0</v>
      </c>
      <c r="M42" s="42">
        <v>23.18</v>
      </c>
      <c r="N42" s="42">
        <v>0</v>
      </c>
      <c r="O42" s="42">
        <v>8.2100000000000009</v>
      </c>
      <c r="P42" s="42">
        <v>0</v>
      </c>
      <c r="Q42" s="42">
        <v>0</v>
      </c>
      <c r="R42" s="41">
        <v>10.75</v>
      </c>
      <c r="S42" s="42">
        <v>24.96</v>
      </c>
      <c r="T42" s="41">
        <v>43.95</v>
      </c>
      <c r="U42" s="41">
        <v>0</v>
      </c>
      <c r="V42" s="42">
        <v>31.72</v>
      </c>
      <c r="W42" s="41">
        <v>25.79</v>
      </c>
      <c r="X42" s="41">
        <f>SUM(Y42:AC42)</f>
        <v>527.70000000000005</v>
      </c>
      <c r="Y42" s="43">
        <v>405.3</v>
      </c>
      <c r="Z42" s="42">
        <v>0</v>
      </c>
      <c r="AA42" s="41">
        <v>0</v>
      </c>
      <c r="AB42" s="41">
        <f>ROUND(Y42*0.302,2)</f>
        <v>122.4</v>
      </c>
      <c r="AC42" s="42">
        <v>0</v>
      </c>
      <c r="AD42" s="97">
        <v>450.22</v>
      </c>
      <c r="AE42" s="94">
        <f t="shared" si="6"/>
        <v>2277.1</v>
      </c>
      <c r="AF42" s="95">
        <v>0</v>
      </c>
      <c r="AG42" s="256"/>
      <c r="AH42" s="55"/>
      <c r="AI42" s="55"/>
      <c r="AJ42" s="6"/>
      <c r="AK42" s="55"/>
      <c r="AM42" s="8"/>
    </row>
    <row r="43" spans="1:39" s="1" customFormat="1" ht="90" x14ac:dyDescent="0.25">
      <c r="A43" s="258"/>
      <c r="B43" s="88" t="s">
        <v>84</v>
      </c>
      <c r="C43" s="39" t="s">
        <v>64</v>
      </c>
      <c r="D43" s="38" t="s">
        <v>65</v>
      </c>
      <c r="E43" s="89">
        <v>2000</v>
      </c>
      <c r="F43" s="41">
        <f>SUM(G43,M43,Q43,R43,S43,T43,V43,W43,X43,AD43,P43,U43)</f>
        <v>2277.13</v>
      </c>
      <c r="G43" s="41">
        <f>SUM(H43:L43)</f>
        <v>1138.8600000000001</v>
      </c>
      <c r="H43" s="41">
        <v>874.7</v>
      </c>
      <c r="I43" s="42"/>
      <c r="J43" s="41"/>
      <c r="K43" s="41">
        <f>ROUND(H43*0.302,2)</f>
        <v>264.16000000000003</v>
      </c>
      <c r="L43" s="41">
        <v>0</v>
      </c>
      <c r="M43" s="42">
        <v>23.18</v>
      </c>
      <c r="N43" s="42">
        <v>0</v>
      </c>
      <c r="O43" s="42">
        <v>8.2100000000000009</v>
      </c>
      <c r="P43" s="42">
        <v>0</v>
      </c>
      <c r="Q43" s="42">
        <v>0</v>
      </c>
      <c r="R43" s="41">
        <v>10.75</v>
      </c>
      <c r="S43" s="42">
        <v>24.96</v>
      </c>
      <c r="T43" s="41">
        <v>43.95</v>
      </c>
      <c r="U43" s="41">
        <v>0</v>
      </c>
      <c r="V43" s="42">
        <v>31.72</v>
      </c>
      <c r="W43" s="41">
        <v>25.79</v>
      </c>
      <c r="X43" s="41">
        <f>SUM(Y43:AC43)</f>
        <v>527.70000000000005</v>
      </c>
      <c r="Y43" s="43">
        <v>405.3</v>
      </c>
      <c r="Z43" s="42">
        <v>0</v>
      </c>
      <c r="AA43" s="41">
        <v>0</v>
      </c>
      <c r="AB43" s="41">
        <f>ROUND(Y43*0.302,2)</f>
        <v>122.4</v>
      </c>
      <c r="AC43" s="42">
        <v>0</v>
      </c>
      <c r="AD43" s="97">
        <v>450.22</v>
      </c>
      <c r="AE43" s="94">
        <f t="shared" si="6"/>
        <v>4554.3</v>
      </c>
      <c r="AF43" s="95">
        <v>0</v>
      </c>
      <c r="AG43" s="256"/>
      <c r="AH43" s="55"/>
      <c r="AI43" s="55"/>
      <c r="AJ43" s="6"/>
      <c r="AK43" s="55"/>
      <c r="AM43" s="8"/>
    </row>
    <row r="44" spans="1:39" s="1" customFormat="1" ht="15.75" x14ac:dyDescent="0.25">
      <c r="A44" s="81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/>
      <c r="AH44" s="55"/>
      <c r="AI44" s="55"/>
      <c r="AJ44" s="6"/>
      <c r="AK44" s="55"/>
      <c r="AM44" s="8"/>
    </row>
    <row r="45" spans="1:39" s="1" customFormat="1" ht="15.75" x14ac:dyDescent="0.25">
      <c r="A45" s="81"/>
      <c r="B45" s="9"/>
      <c r="C45" s="82"/>
      <c r="D45" s="9"/>
      <c r="E45" s="83"/>
      <c r="F45" s="3"/>
      <c r="G45" s="3"/>
      <c r="H45" s="3"/>
      <c r="I45" s="84"/>
      <c r="J45" s="3"/>
      <c r="K45" s="3"/>
      <c r="L45" s="3"/>
      <c r="M45" s="84"/>
      <c r="N45" s="84"/>
      <c r="O45" s="84"/>
      <c r="P45" s="84"/>
      <c r="Q45" s="84"/>
      <c r="R45" s="3"/>
      <c r="S45" s="84"/>
      <c r="T45" s="3"/>
      <c r="U45" s="3"/>
      <c r="V45" s="84"/>
      <c r="W45" s="3"/>
      <c r="X45" s="3"/>
      <c r="Y45" s="85"/>
      <c r="Z45" s="84"/>
      <c r="AA45" s="3"/>
      <c r="AB45" s="3"/>
      <c r="AC45" s="84"/>
      <c r="AD45" s="84"/>
      <c r="AE45" s="3"/>
      <c r="AF45" s="84"/>
      <c r="AG45" s="3"/>
      <c r="AH45" s="55"/>
      <c r="AI45" s="55"/>
      <c r="AJ45" s="6"/>
      <c r="AK45" s="55"/>
      <c r="AM45" s="8"/>
    </row>
    <row r="46" spans="1:39" ht="22.5" x14ac:dyDescent="0.25">
      <c r="A46" s="9" t="s">
        <v>70</v>
      </c>
      <c r="AE46" s="54">
        <f t="shared" ref="AE46:AG46" si="8">SUM(AE11:AE41)</f>
        <v>727582.99999999988</v>
      </c>
      <c r="AF46" s="54">
        <f>SUM(AF11:AF43)</f>
        <v>4040.4</v>
      </c>
      <c r="AG46" s="53">
        <f t="shared" si="8"/>
        <v>738454.79999999993</v>
      </c>
      <c r="AH46" s="53">
        <f>SUM(AH11:AH41)</f>
        <v>548249.72003999981</v>
      </c>
      <c r="AI46" s="56">
        <v>557329100.26582909</v>
      </c>
    </row>
    <row r="47" spans="1:39" ht="20.25" x14ac:dyDescent="0.25">
      <c r="A47" s="9" t="s">
        <v>71</v>
      </c>
      <c r="AE47" s="4"/>
      <c r="AF47" s="4"/>
      <c r="AG47" s="49">
        <v>742534.50000000012</v>
      </c>
      <c r="AH47" s="49">
        <v>557329.10026582901</v>
      </c>
      <c r="AI47" s="50">
        <v>557329.1</v>
      </c>
    </row>
    <row r="48" spans="1:39" x14ac:dyDescent="0.25">
      <c r="AE48" s="4"/>
      <c r="AF48" s="4"/>
      <c r="AG48" s="50">
        <f>AG46-AG47</f>
        <v>-4079.7000000001863</v>
      </c>
      <c r="AH48" s="57">
        <f>AH46-AH47</f>
        <v>-9079.380225829198</v>
      </c>
    </row>
    <row r="49" spans="33:35" x14ac:dyDescent="0.25">
      <c r="AG49" s="2"/>
      <c r="AH49" s="50"/>
      <c r="AI49" s="50"/>
    </row>
  </sheetData>
  <mergeCells count="52">
    <mergeCell ref="AG36:AG37"/>
    <mergeCell ref="A40:A43"/>
    <mergeCell ref="AG40:AG43"/>
    <mergeCell ref="AG17:AG19"/>
    <mergeCell ref="AG20:AG22"/>
    <mergeCell ref="AG23:AG25"/>
    <mergeCell ref="AG26:AG28"/>
    <mergeCell ref="AG29:AG31"/>
    <mergeCell ref="AG32:AG33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</mergeCells>
  <pageMargins left="0" right="0" top="0" bottom="0" header="0.31496062992125984" footer="0.31496062992125984"/>
  <pageSetup paperSize="9" scale="18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H47"/>
  <sheetViews>
    <sheetView zoomScale="70" zoomScaleNormal="70" workbookViewId="0">
      <pane xSplit="1" ySplit="10" topLeftCell="T41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customWidth="1"/>
    <col min="36" max="36" width="15.7109375" customWidth="1"/>
    <col min="37" max="37" width="14.85546875" customWidth="1"/>
  </cols>
  <sheetData>
    <row r="1" spans="1:34" x14ac:dyDescent="0.25">
      <c r="A1" t="s">
        <v>73</v>
      </c>
    </row>
    <row r="2" spans="1:34" x14ac:dyDescent="0.25">
      <c r="A2" t="s">
        <v>74</v>
      </c>
      <c r="C2" s="90" t="s">
        <v>85</v>
      </c>
    </row>
    <row r="3" spans="1:34" ht="15.75" x14ac:dyDescent="0.25">
      <c r="A3" s="247" t="s">
        <v>0</v>
      </c>
      <c r="B3" s="243" t="s">
        <v>1</v>
      </c>
      <c r="C3" s="248" t="s">
        <v>2</v>
      </c>
      <c r="D3" s="248"/>
      <c r="E3" s="102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4</v>
      </c>
      <c r="AF3" s="243" t="s">
        <v>5</v>
      </c>
      <c r="AG3" s="244" t="s">
        <v>6</v>
      </c>
    </row>
    <row r="4" spans="1:34" ht="15.75" x14ac:dyDescent="0.25">
      <c r="A4" s="238"/>
      <c r="B4" s="242"/>
      <c r="C4" s="249" t="s">
        <v>7</v>
      </c>
      <c r="D4" s="249" t="s">
        <v>8</v>
      </c>
      <c r="E4" s="249" t="s">
        <v>9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  <c r="AF4" s="242"/>
      <c r="AG4" s="245"/>
    </row>
    <row r="5" spans="1:34" ht="15.75" x14ac:dyDescent="0.25">
      <c r="A5" s="238"/>
      <c r="B5" s="242"/>
      <c r="C5" s="249"/>
      <c r="D5" s="249"/>
      <c r="E5" s="249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  <c r="AF5" s="242"/>
      <c r="AG5" s="245"/>
    </row>
    <row r="6" spans="1:34" ht="15.75" x14ac:dyDescent="0.25">
      <c r="A6" s="238"/>
      <c r="B6" s="242"/>
      <c r="C6" s="249"/>
      <c r="D6" s="249"/>
      <c r="E6" s="249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  <c r="AF6" s="242"/>
      <c r="AG6" s="245"/>
    </row>
    <row r="7" spans="1:34" x14ac:dyDescent="0.25">
      <c r="A7" s="238"/>
      <c r="B7" s="242"/>
      <c r="C7" s="249"/>
      <c r="D7" s="249"/>
      <c r="E7" s="249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  <c r="AF7" s="242"/>
      <c r="AG7" s="245"/>
    </row>
    <row r="8" spans="1:34" ht="15.75" x14ac:dyDescent="0.25">
      <c r="A8" s="238"/>
      <c r="B8" s="242"/>
      <c r="C8" s="249"/>
      <c r="D8" s="249"/>
      <c r="E8" s="249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  <c r="AF8" s="242"/>
      <c r="AG8" s="245"/>
    </row>
    <row r="9" spans="1:34" ht="94.5" x14ac:dyDescent="0.25">
      <c r="A9" s="238"/>
      <c r="B9" s="242"/>
      <c r="C9" s="249"/>
      <c r="D9" s="249"/>
      <c r="E9" s="249"/>
      <c r="F9" s="246"/>
      <c r="G9" s="246"/>
      <c r="H9" s="242"/>
      <c r="I9" s="242"/>
      <c r="J9" s="242"/>
      <c r="K9" s="242"/>
      <c r="L9" s="242"/>
      <c r="M9" s="246"/>
      <c r="N9" s="101" t="s">
        <v>33</v>
      </c>
      <c r="O9" s="101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  <c r="AF9" s="242"/>
      <c r="AG9" s="245"/>
      <c r="AH9">
        <v>1.0299400000000001</v>
      </c>
    </row>
    <row r="10" spans="1:34" ht="15.75" x14ac:dyDescent="0.25">
      <c r="A10" s="99">
        <v>1</v>
      </c>
      <c r="B10" s="106">
        <v>2</v>
      </c>
      <c r="C10" s="103">
        <v>3</v>
      </c>
      <c r="D10" s="106">
        <v>4</v>
      </c>
      <c r="E10" s="103">
        <v>5</v>
      </c>
      <c r="F10" s="106">
        <v>6</v>
      </c>
      <c r="G10" s="103">
        <v>7</v>
      </c>
      <c r="H10" s="106">
        <v>8</v>
      </c>
      <c r="I10" s="103">
        <v>9</v>
      </c>
      <c r="J10" s="106">
        <v>10</v>
      </c>
      <c r="K10" s="103">
        <v>11</v>
      </c>
      <c r="L10" s="106">
        <v>12</v>
      </c>
      <c r="M10" s="103">
        <v>13</v>
      </c>
      <c r="N10" s="101">
        <v>14</v>
      </c>
      <c r="O10" s="106">
        <v>15</v>
      </c>
      <c r="P10" s="106">
        <f>O10+1</f>
        <v>16</v>
      </c>
      <c r="Q10" s="106">
        <f t="shared" ref="Q10:AD10" si="0">P10+1</f>
        <v>17</v>
      </c>
      <c r="R10" s="106">
        <f t="shared" si="0"/>
        <v>18</v>
      </c>
      <c r="S10" s="106">
        <f t="shared" si="0"/>
        <v>19</v>
      </c>
      <c r="T10" s="106">
        <f t="shared" si="0"/>
        <v>20</v>
      </c>
      <c r="U10" s="106">
        <f t="shared" si="0"/>
        <v>21</v>
      </c>
      <c r="V10" s="106">
        <f t="shared" si="0"/>
        <v>22</v>
      </c>
      <c r="W10" s="106">
        <f t="shared" si="0"/>
        <v>23</v>
      </c>
      <c r="X10" s="106">
        <f t="shared" si="0"/>
        <v>24</v>
      </c>
      <c r="Y10" s="106">
        <f t="shared" si="0"/>
        <v>25</v>
      </c>
      <c r="Z10" s="106">
        <f t="shared" si="0"/>
        <v>26</v>
      </c>
      <c r="AA10" s="106">
        <f t="shared" si="0"/>
        <v>27</v>
      </c>
      <c r="AB10" s="106">
        <f t="shared" si="0"/>
        <v>28</v>
      </c>
      <c r="AC10" s="106">
        <f t="shared" si="0"/>
        <v>29</v>
      </c>
      <c r="AD10" s="106">
        <f t="shared" si="0"/>
        <v>30</v>
      </c>
      <c r="AE10" s="106">
        <f>AF10+1</f>
        <v>32</v>
      </c>
      <c r="AF10" s="106">
        <f>AD10+1</f>
        <v>31</v>
      </c>
      <c r="AG10" s="15"/>
    </row>
    <row r="11" spans="1:34" ht="78.75" x14ac:dyDescent="0.25">
      <c r="A11" s="105" t="s">
        <v>35</v>
      </c>
      <c r="B11" s="17" t="s">
        <v>36</v>
      </c>
      <c r="C11" s="17" t="s">
        <v>37</v>
      </c>
      <c r="D11" s="18" t="s">
        <v>38</v>
      </c>
      <c r="E11" s="19">
        <v>23764</v>
      </c>
      <c r="F11" s="20">
        <f t="shared" ref="F11:F39" si="1">SUM(G11,M11,Q11,R11,S11,T11,V11,W11,X11,AD11,P11,U11)</f>
        <v>3968.9108000000001</v>
      </c>
      <c r="G11" s="20">
        <f t="shared" ref="G11:G39" si="2">SUM(H11:L11)</f>
        <v>1651.9</v>
      </c>
      <c r="H11" s="21">
        <v>1268.74</v>
      </c>
      <c r="I11" s="22">
        <v>0</v>
      </c>
      <c r="J11" s="22">
        <v>0</v>
      </c>
      <c r="K11" s="20">
        <f t="shared" ref="K11:K39" si="3">ROUND(H11*0.302,2)</f>
        <v>383.16</v>
      </c>
      <c r="L11" s="22">
        <v>0</v>
      </c>
      <c r="M11" s="22">
        <v>181.36</v>
      </c>
      <c r="N11" s="22">
        <v>0</v>
      </c>
      <c r="O11" s="22">
        <v>56.96</v>
      </c>
      <c r="P11" s="22">
        <v>0</v>
      </c>
      <c r="Q11" s="22">
        <v>0.92</v>
      </c>
      <c r="R11" s="21">
        <v>176.31</v>
      </c>
      <c r="S11" s="22">
        <v>79.84</v>
      </c>
      <c r="T11" s="22">
        <v>478.47</v>
      </c>
      <c r="U11" s="22">
        <v>0</v>
      </c>
      <c r="V11" s="22">
        <v>16.11</v>
      </c>
      <c r="W11" s="22">
        <v>0</v>
      </c>
      <c r="X11" s="20">
        <f t="shared" ref="X11:X39" si="4">SUM(Y11:AC11)</f>
        <v>1310.48</v>
      </c>
      <c r="Y11" s="22">
        <v>1006.51</v>
      </c>
      <c r="Z11" s="22">
        <v>0</v>
      </c>
      <c r="AA11" s="22">
        <v>0</v>
      </c>
      <c r="AB11" s="20">
        <f t="shared" ref="AB11:AB39" si="5">ROUND(Y11*0.302,2)</f>
        <v>303.97000000000003</v>
      </c>
      <c r="AC11" s="22">
        <v>0</v>
      </c>
      <c r="AD11" s="22">
        <f>73.615-0.0942</f>
        <v>73.520799999999994</v>
      </c>
      <c r="AE11" s="20">
        <f t="shared" ref="AE11:AE43" si="6">ROUND(E11*F11/1000,1)</f>
        <v>94317.2</v>
      </c>
      <c r="AF11" s="22">
        <v>761.2</v>
      </c>
      <c r="AG11" s="241">
        <f>ROUND(AE11+AE12+AE13+AF11,1)</f>
        <v>101444.2</v>
      </c>
      <c r="AH11" s="22">
        <f>ROUND(AG11*$AH$9,1)</f>
        <v>104481.4</v>
      </c>
    </row>
    <row r="12" spans="1:34" ht="63" x14ac:dyDescent="0.25">
      <c r="A12" s="105" t="s">
        <v>35</v>
      </c>
      <c r="B12" s="17" t="s">
        <v>39</v>
      </c>
      <c r="C12" s="17" t="s">
        <v>40</v>
      </c>
      <c r="D12" s="18" t="s">
        <v>38</v>
      </c>
      <c r="E12" s="19">
        <v>54</v>
      </c>
      <c r="F12" s="20">
        <f t="shared" si="1"/>
        <v>29694.579000000002</v>
      </c>
      <c r="G12" s="20">
        <f t="shared" si="2"/>
        <v>25558.61</v>
      </c>
      <c r="H12" s="22">
        <v>19630.27</v>
      </c>
      <c r="I12" s="22">
        <v>0</v>
      </c>
      <c r="J12" s="22">
        <v>0</v>
      </c>
      <c r="K12" s="20">
        <f t="shared" si="3"/>
        <v>5928.34</v>
      </c>
      <c r="L12" s="22">
        <v>0</v>
      </c>
      <c r="M12" s="22">
        <v>210.56</v>
      </c>
      <c r="N12" s="22">
        <v>0</v>
      </c>
      <c r="O12" s="22">
        <v>34.28</v>
      </c>
      <c r="P12" s="22">
        <v>0</v>
      </c>
      <c r="Q12" s="22">
        <v>47.71</v>
      </c>
      <c r="R12" s="22">
        <v>101.74</v>
      </c>
      <c r="S12" s="22">
        <v>485.92</v>
      </c>
      <c r="T12" s="22">
        <v>206.34</v>
      </c>
      <c r="U12" s="22">
        <v>0</v>
      </c>
      <c r="V12" s="22">
        <v>11.36</v>
      </c>
      <c r="W12" s="22">
        <v>0</v>
      </c>
      <c r="X12" s="20">
        <f t="shared" si="4"/>
        <v>2479.2399999999998</v>
      </c>
      <c r="Y12" s="22">
        <v>1904.18</v>
      </c>
      <c r="Z12" s="22">
        <v>0</v>
      </c>
      <c r="AA12" s="22">
        <v>0</v>
      </c>
      <c r="AB12" s="20">
        <f t="shared" si="5"/>
        <v>575.05999999999995</v>
      </c>
      <c r="AC12" s="22">
        <v>0</v>
      </c>
      <c r="AD12" s="22">
        <v>593.09900000000005</v>
      </c>
      <c r="AE12" s="20">
        <f t="shared" si="6"/>
        <v>1603.5</v>
      </c>
      <c r="AF12" s="22">
        <v>0</v>
      </c>
      <c r="AG12" s="241"/>
    </row>
    <row r="13" spans="1:34" ht="56.25" x14ac:dyDescent="0.25">
      <c r="A13" s="23" t="s">
        <v>35</v>
      </c>
      <c r="B13" s="17" t="s">
        <v>41</v>
      </c>
      <c r="C13" s="107" t="s">
        <v>42</v>
      </c>
      <c r="D13" s="18" t="s">
        <v>38</v>
      </c>
      <c r="E13" s="19">
        <v>41</v>
      </c>
      <c r="F13" s="20">
        <f t="shared" si="1"/>
        <v>116153.15700000001</v>
      </c>
      <c r="G13" s="20">
        <f t="shared" si="2"/>
        <v>77403.78</v>
      </c>
      <c r="H13" s="21">
        <v>59449.91</v>
      </c>
      <c r="I13" s="22">
        <v>0</v>
      </c>
      <c r="J13" s="22">
        <v>0</v>
      </c>
      <c r="K13" s="20">
        <f t="shared" si="3"/>
        <v>17953.87</v>
      </c>
      <c r="L13" s="22">
        <v>0</v>
      </c>
      <c r="M13" s="22">
        <v>792.29</v>
      </c>
      <c r="N13" s="22">
        <v>0</v>
      </c>
      <c r="O13" s="22">
        <v>72.12</v>
      </c>
      <c r="P13" s="22">
        <v>0</v>
      </c>
      <c r="Q13" s="22">
        <v>10738.13</v>
      </c>
      <c r="R13" s="22">
        <v>401.77</v>
      </c>
      <c r="S13" s="22">
        <v>1059.44</v>
      </c>
      <c r="T13" s="22">
        <v>12398.34</v>
      </c>
      <c r="U13" s="22">
        <v>0</v>
      </c>
      <c r="V13" s="22">
        <v>58.21</v>
      </c>
      <c r="W13" s="22">
        <v>0</v>
      </c>
      <c r="X13" s="20">
        <f t="shared" si="4"/>
        <v>10688.65</v>
      </c>
      <c r="Y13" s="22">
        <v>8209.41</v>
      </c>
      <c r="Z13" s="22">
        <v>0</v>
      </c>
      <c r="AA13" s="22">
        <v>0</v>
      </c>
      <c r="AB13" s="20">
        <f t="shared" si="5"/>
        <v>2479.2399999999998</v>
      </c>
      <c r="AC13" s="22">
        <v>0</v>
      </c>
      <c r="AD13" s="22">
        <v>2612.547</v>
      </c>
      <c r="AE13" s="20">
        <f t="shared" si="6"/>
        <v>4762.3</v>
      </c>
      <c r="AF13" s="22">
        <v>0</v>
      </c>
      <c r="AG13" s="241"/>
    </row>
    <row r="14" spans="1:34" ht="78.75" x14ac:dyDescent="0.25">
      <c r="A14" s="105" t="s">
        <v>43</v>
      </c>
      <c r="B14" s="17" t="s">
        <v>36</v>
      </c>
      <c r="C14" s="17" t="s">
        <v>37</v>
      </c>
      <c r="D14" s="17" t="s">
        <v>38</v>
      </c>
      <c r="E14" s="19">
        <v>20521</v>
      </c>
      <c r="F14" s="20">
        <f t="shared" si="1"/>
        <v>4199.8069999999998</v>
      </c>
      <c r="G14" s="20">
        <f t="shared" si="2"/>
        <v>1921.66</v>
      </c>
      <c r="H14" s="20">
        <v>1475.93</v>
      </c>
      <c r="I14" s="25"/>
      <c r="J14" s="25"/>
      <c r="K14" s="20">
        <f t="shared" si="3"/>
        <v>445.73</v>
      </c>
      <c r="L14" s="25">
        <v>0</v>
      </c>
      <c r="M14" s="21">
        <v>325.42</v>
      </c>
      <c r="N14" s="20">
        <v>78.78</v>
      </c>
      <c r="O14" s="25">
        <v>3.99</v>
      </c>
      <c r="P14" s="26">
        <v>0</v>
      </c>
      <c r="Q14" s="25">
        <v>172.17</v>
      </c>
      <c r="R14" s="20">
        <v>274.17</v>
      </c>
      <c r="S14" s="25">
        <v>112.84</v>
      </c>
      <c r="T14" s="25">
        <v>90.43</v>
      </c>
      <c r="U14" s="20">
        <v>0</v>
      </c>
      <c r="V14" s="25">
        <v>19.2</v>
      </c>
      <c r="W14" s="25">
        <v>0</v>
      </c>
      <c r="X14" s="20">
        <f t="shared" si="4"/>
        <v>1121.17</v>
      </c>
      <c r="Y14" s="27">
        <v>861.11</v>
      </c>
      <c r="Z14" s="27"/>
      <c r="AA14" s="27"/>
      <c r="AB14" s="20">
        <f t="shared" si="5"/>
        <v>260.06</v>
      </c>
      <c r="AC14" s="25">
        <v>0</v>
      </c>
      <c r="AD14" s="25">
        <v>162.74700000000001</v>
      </c>
      <c r="AE14" s="20">
        <f t="shared" si="6"/>
        <v>86184.2</v>
      </c>
      <c r="AF14" s="25">
        <v>301.7</v>
      </c>
      <c r="AG14" s="237">
        <f>ROUND(AE14+AE15+AE16+AF14,1)</f>
        <v>87892.6</v>
      </c>
      <c r="AH14" s="22">
        <f>ROUND(AG14*$AH$9,1)</f>
        <v>90524.1</v>
      </c>
    </row>
    <row r="15" spans="1:34" ht="63" x14ac:dyDescent="0.25">
      <c r="A15" s="105" t="s">
        <v>43</v>
      </c>
      <c r="B15" s="17" t="s">
        <v>39</v>
      </c>
      <c r="C15" s="17" t="s">
        <v>40</v>
      </c>
      <c r="D15" s="17" t="s">
        <v>38</v>
      </c>
      <c r="E15" s="19">
        <v>57</v>
      </c>
      <c r="F15" s="20">
        <f t="shared" si="1"/>
        <v>13321.769</v>
      </c>
      <c r="G15" s="20">
        <f t="shared" si="2"/>
        <v>11668.16</v>
      </c>
      <c r="H15" s="20">
        <v>8961.7199999999993</v>
      </c>
      <c r="I15" s="25"/>
      <c r="J15" s="25"/>
      <c r="K15" s="20">
        <f t="shared" si="3"/>
        <v>2706.44</v>
      </c>
      <c r="L15" s="25">
        <v>0</v>
      </c>
      <c r="M15" s="25">
        <v>218.19</v>
      </c>
      <c r="N15" s="20">
        <v>0</v>
      </c>
      <c r="O15" s="25">
        <v>5</v>
      </c>
      <c r="P15" s="26">
        <v>0</v>
      </c>
      <c r="Q15" s="25">
        <v>80</v>
      </c>
      <c r="R15" s="20">
        <v>88.99</v>
      </c>
      <c r="S15" s="25">
        <v>25.95</v>
      </c>
      <c r="T15" s="25">
        <v>0</v>
      </c>
      <c r="U15" s="20">
        <v>0</v>
      </c>
      <c r="V15" s="25">
        <v>19.11</v>
      </c>
      <c r="W15" s="25">
        <v>0</v>
      </c>
      <c r="X15" s="20">
        <f t="shared" si="4"/>
        <v>1144.1199999999999</v>
      </c>
      <c r="Y15" s="27">
        <v>878.74</v>
      </c>
      <c r="Z15" s="27"/>
      <c r="AA15" s="27"/>
      <c r="AB15" s="20">
        <f t="shared" si="5"/>
        <v>265.38</v>
      </c>
      <c r="AC15" s="25">
        <v>0</v>
      </c>
      <c r="AD15" s="25">
        <v>77.248999999999995</v>
      </c>
      <c r="AE15" s="20">
        <f t="shared" si="6"/>
        <v>759.3</v>
      </c>
      <c r="AF15" s="25">
        <v>0</v>
      </c>
      <c r="AG15" s="237"/>
    </row>
    <row r="16" spans="1:34" ht="47.25" x14ac:dyDescent="0.25">
      <c r="A16" s="105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323714.69900000002</v>
      </c>
      <c r="G16" s="20">
        <f t="shared" si="2"/>
        <v>280421.14</v>
      </c>
      <c r="H16" s="20">
        <v>215377.22</v>
      </c>
      <c r="I16" s="20"/>
      <c r="J16" s="20"/>
      <c r="K16" s="20">
        <f t="shared" si="3"/>
        <v>65043.92</v>
      </c>
      <c r="L16" s="20">
        <v>0</v>
      </c>
      <c r="M16" s="20">
        <v>28769.200000000001</v>
      </c>
      <c r="N16" s="20">
        <v>1132.1500000000001</v>
      </c>
      <c r="O16" s="20">
        <v>28769.200000000001</v>
      </c>
      <c r="P16" s="20">
        <v>0</v>
      </c>
      <c r="Q16" s="20">
        <v>5500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4"/>
        <v>7396.9500000000007</v>
      </c>
      <c r="Y16" s="20">
        <v>5681.22</v>
      </c>
      <c r="Z16" s="20"/>
      <c r="AA16" s="20"/>
      <c r="AB16" s="20">
        <f t="shared" si="5"/>
        <v>1715.73</v>
      </c>
      <c r="AC16" s="25">
        <v>0</v>
      </c>
      <c r="AD16" s="25">
        <v>959.09900000000005</v>
      </c>
      <c r="AE16" s="20">
        <f t="shared" si="6"/>
        <v>647.4</v>
      </c>
      <c r="AF16" s="20">
        <v>0</v>
      </c>
      <c r="AG16" s="237"/>
    </row>
    <row r="17" spans="1:34" ht="78.75" x14ac:dyDescent="0.25">
      <c r="A17" s="105" t="s">
        <v>44</v>
      </c>
      <c r="B17" s="17" t="s">
        <v>36</v>
      </c>
      <c r="C17" s="17" t="s">
        <v>37</v>
      </c>
      <c r="D17" s="17" t="s">
        <v>45</v>
      </c>
      <c r="E17" s="19">
        <v>32061</v>
      </c>
      <c r="F17" s="20">
        <f t="shared" si="1"/>
        <v>2817.3670000000002</v>
      </c>
      <c r="G17" s="20">
        <f t="shared" si="2"/>
        <v>1559.8999999999999</v>
      </c>
      <c r="H17" s="20">
        <v>1198.08</v>
      </c>
      <c r="I17" s="25">
        <v>0</v>
      </c>
      <c r="J17" s="25">
        <v>0</v>
      </c>
      <c r="K17" s="20">
        <f t="shared" si="3"/>
        <v>361.82</v>
      </c>
      <c r="L17" s="25">
        <v>0</v>
      </c>
      <c r="M17" s="21">
        <v>298.81</v>
      </c>
      <c r="N17" s="25">
        <v>67.61</v>
      </c>
      <c r="O17" s="25">
        <v>52.19</v>
      </c>
      <c r="P17" s="26">
        <v>0</v>
      </c>
      <c r="Q17" s="25">
        <v>65.819999999999993</v>
      </c>
      <c r="R17" s="25">
        <v>79.069999999999993</v>
      </c>
      <c r="S17" s="25">
        <v>197.27</v>
      </c>
      <c r="T17" s="25">
        <v>48.56</v>
      </c>
      <c r="U17" s="20">
        <v>0</v>
      </c>
      <c r="V17" s="25">
        <v>10.3</v>
      </c>
      <c r="W17" s="25">
        <v>0</v>
      </c>
      <c r="X17" s="20">
        <f t="shared" si="4"/>
        <v>531.84</v>
      </c>
      <c r="Y17" s="27">
        <v>408.48</v>
      </c>
      <c r="Z17" s="25">
        <v>0</v>
      </c>
      <c r="AA17" s="25">
        <v>0</v>
      </c>
      <c r="AB17" s="20">
        <f t="shared" si="5"/>
        <v>123.36</v>
      </c>
      <c r="AC17" s="25">
        <v>0</v>
      </c>
      <c r="AD17" s="25">
        <v>25.797000000000001</v>
      </c>
      <c r="AE17" s="20">
        <f t="shared" si="6"/>
        <v>90327.6</v>
      </c>
      <c r="AF17" s="25">
        <v>406.4</v>
      </c>
      <c r="AG17" s="237">
        <f>ROUND(AE17+AE18+AE19+AF17,1)</f>
        <v>95603.1</v>
      </c>
      <c r="AH17" s="22">
        <f>ROUND(AG17*$AH$9,1)</f>
        <v>98465.5</v>
      </c>
    </row>
    <row r="18" spans="1:34" ht="63" x14ac:dyDescent="0.25">
      <c r="A18" s="105" t="s">
        <v>44</v>
      </c>
      <c r="B18" s="17" t="s">
        <v>39</v>
      </c>
      <c r="C18" s="17" t="s">
        <v>40</v>
      </c>
      <c r="D18" s="17" t="s">
        <v>45</v>
      </c>
      <c r="E18" s="19">
        <v>139</v>
      </c>
      <c r="F18" s="20">
        <f t="shared" si="1"/>
        <v>17966.012000000002</v>
      </c>
      <c r="G18" s="20">
        <f t="shared" si="2"/>
        <v>11544.44</v>
      </c>
      <c r="H18" s="20">
        <v>8866.7000000000007</v>
      </c>
      <c r="I18" s="25">
        <v>0</v>
      </c>
      <c r="J18" s="25">
        <v>0</v>
      </c>
      <c r="K18" s="20">
        <f t="shared" si="3"/>
        <v>2677.74</v>
      </c>
      <c r="L18" s="25">
        <v>0</v>
      </c>
      <c r="M18" s="25">
        <v>1167.99</v>
      </c>
      <c r="N18" s="25">
        <v>526.32000000000005</v>
      </c>
      <c r="O18" s="25">
        <v>466.67</v>
      </c>
      <c r="P18" s="26">
        <v>0</v>
      </c>
      <c r="Q18" s="25">
        <v>233.33</v>
      </c>
      <c r="R18" s="25">
        <v>217.96</v>
      </c>
      <c r="S18" s="25">
        <v>2036.69</v>
      </c>
      <c r="T18" s="25">
        <v>0</v>
      </c>
      <c r="U18" s="20">
        <v>0</v>
      </c>
      <c r="V18" s="25">
        <v>73.680000000000007</v>
      </c>
      <c r="W18" s="25">
        <v>0</v>
      </c>
      <c r="X18" s="20">
        <f t="shared" si="4"/>
        <v>1651.99</v>
      </c>
      <c r="Y18" s="27">
        <v>1268.81</v>
      </c>
      <c r="Z18" s="25">
        <v>0</v>
      </c>
      <c r="AA18" s="25">
        <v>0</v>
      </c>
      <c r="AB18" s="20">
        <f t="shared" si="5"/>
        <v>383.18</v>
      </c>
      <c r="AC18" s="25">
        <v>0</v>
      </c>
      <c r="AD18" s="25">
        <v>1039.932</v>
      </c>
      <c r="AE18" s="20">
        <f t="shared" si="6"/>
        <v>2497.3000000000002</v>
      </c>
      <c r="AF18" s="25">
        <v>0</v>
      </c>
      <c r="AG18" s="237"/>
    </row>
    <row r="19" spans="1:34" ht="47.25" x14ac:dyDescent="0.25">
      <c r="A19" s="105" t="s">
        <v>44</v>
      </c>
      <c r="B19" s="17" t="s">
        <v>41</v>
      </c>
      <c r="C19" s="17" t="s">
        <v>42</v>
      </c>
      <c r="D19" s="17" t="s">
        <v>38</v>
      </c>
      <c r="E19" s="19">
        <v>5</v>
      </c>
      <c r="F19" s="20">
        <f t="shared" si="1"/>
        <v>474354.71400000004</v>
      </c>
      <c r="G19" s="20">
        <f t="shared" si="2"/>
        <v>247148.56</v>
      </c>
      <c r="H19" s="20">
        <v>189822.24</v>
      </c>
      <c r="I19" s="25">
        <v>0</v>
      </c>
      <c r="J19" s="25">
        <v>0</v>
      </c>
      <c r="K19" s="20">
        <f t="shared" si="3"/>
        <v>57326.32</v>
      </c>
      <c r="L19" s="25">
        <v>0</v>
      </c>
      <c r="M19" s="25">
        <v>106722.86</v>
      </c>
      <c r="N19" s="25">
        <v>91040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61787.14</v>
      </c>
      <c r="Y19" s="25">
        <v>47455.56</v>
      </c>
      <c r="Z19" s="20">
        <v>0</v>
      </c>
      <c r="AA19" s="27">
        <v>0</v>
      </c>
      <c r="AB19" s="20">
        <f t="shared" si="5"/>
        <v>14331.58</v>
      </c>
      <c r="AC19" s="25">
        <v>0</v>
      </c>
      <c r="AD19" s="25">
        <v>20989.013999999999</v>
      </c>
      <c r="AE19" s="20">
        <f t="shared" si="6"/>
        <v>2371.8000000000002</v>
      </c>
      <c r="AF19" s="25">
        <v>0</v>
      </c>
      <c r="AG19" s="237"/>
    </row>
    <row r="20" spans="1:34" ht="78.75" x14ac:dyDescent="0.25">
      <c r="A20" s="105" t="s">
        <v>46</v>
      </c>
      <c r="B20" s="106" t="s">
        <v>36</v>
      </c>
      <c r="C20" s="17" t="s">
        <v>37</v>
      </c>
      <c r="D20" s="106" t="s">
        <v>45</v>
      </c>
      <c r="E20" s="19">
        <v>10254</v>
      </c>
      <c r="F20" s="20">
        <f t="shared" si="1"/>
        <v>8170.7710000000015</v>
      </c>
      <c r="G20" s="20">
        <f t="shared" si="2"/>
        <v>4646.0700000000006</v>
      </c>
      <c r="H20" s="20">
        <v>3535.66</v>
      </c>
      <c r="I20" s="20">
        <v>0</v>
      </c>
      <c r="J20" s="20">
        <v>0</v>
      </c>
      <c r="K20" s="20">
        <f t="shared" si="3"/>
        <v>1067.77</v>
      </c>
      <c r="L20" s="20">
        <v>42.64</v>
      </c>
      <c r="M20" s="21">
        <v>743.71</v>
      </c>
      <c r="N20" s="20">
        <v>29.51</v>
      </c>
      <c r="O20" s="20">
        <v>40.770000000000003</v>
      </c>
      <c r="P20" s="26">
        <v>0</v>
      </c>
      <c r="Q20" s="20">
        <v>0</v>
      </c>
      <c r="R20" s="20">
        <v>262.33</v>
      </c>
      <c r="S20" s="20">
        <v>791.58</v>
      </c>
      <c r="T20" s="20">
        <v>101.84</v>
      </c>
      <c r="U20" s="20">
        <v>0</v>
      </c>
      <c r="V20" s="20">
        <v>30.12</v>
      </c>
      <c r="W20" s="20">
        <v>5.01</v>
      </c>
      <c r="X20" s="20">
        <f t="shared" si="4"/>
        <v>1558.73</v>
      </c>
      <c r="Y20" s="27">
        <v>1197.18</v>
      </c>
      <c r="Z20" s="20">
        <v>0</v>
      </c>
      <c r="AA20" s="20"/>
      <c r="AB20" s="20">
        <f t="shared" si="5"/>
        <v>361.55</v>
      </c>
      <c r="AC20" s="25">
        <v>0</v>
      </c>
      <c r="AD20" s="25">
        <v>31.381</v>
      </c>
      <c r="AE20" s="20">
        <f t="shared" si="6"/>
        <v>83783.100000000006</v>
      </c>
      <c r="AF20" s="20">
        <v>164.4</v>
      </c>
      <c r="AG20" s="237">
        <f>ROUND(AE20+AE21+AE22+AF20,1)</f>
        <v>87522.6</v>
      </c>
      <c r="AH20" s="22">
        <f>ROUND(AG20*$AH$9,1)</f>
        <v>90143</v>
      </c>
    </row>
    <row r="21" spans="1:34" ht="63" x14ac:dyDescent="0.25">
      <c r="A21" s="105" t="s">
        <v>46</v>
      </c>
      <c r="B21" s="106" t="s">
        <v>39</v>
      </c>
      <c r="C21" s="17" t="s">
        <v>40</v>
      </c>
      <c r="D21" s="106" t="s">
        <v>45</v>
      </c>
      <c r="E21" s="19">
        <v>78</v>
      </c>
      <c r="F21" s="20">
        <f t="shared" si="1"/>
        <v>22574.865000000002</v>
      </c>
      <c r="G21" s="20">
        <f t="shared" si="2"/>
        <v>13324.32</v>
      </c>
      <c r="H21" s="20">
        <v>9557.0300000000007</v>
      </c>
      <c r="I21" s="20">
        <v>0</v>
      </c>
      <c r="J21" s="20">
        <v>0</v>
      </c>
      <c r="K21" s="20">
        <f t="shared" si="3"/>
        <v>2886.22</v>
      </c>
      <c r="L21" s="20">
        <v>881.07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v>1804.91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6297.49</v>
      </c>
      <c r="Y21" s="27">
        <v>4836.78</v>
      </c>
      <c r="Z21" s="20">
        <v>0</v>
      </c>
      <c r="AA21" s="20"/>
      <c r="AB21" s="20">
        <f t="shared" si="5"/>
        <v>1460.71</v>
      </c>
      <c r="AC21" s="25">
        <v>0</v>
      </c>
      <c r="AD21" s="25">
        <v>313.46499999999997</v>
      </c>
      <c r="AE21" s="20">
        <f t="shared" si="6"/>
        <v>1760.8</v>
      </c>
      <c r="AF21" s="20">
        <v>0</v>
      </c>
      <c r="AG21" s="237"/>
    </row>
    <row r="22" spans="1:34" ht="47.25" x14ac:dyDescent="0.25">
      <c r="A22" s="105" t="s">
        <v>46</v>
      </c>
      <c r="B22" s="17" t="s">
        <v>41</v>
      </c>
      <c r="C22" s="17" t="s">
        <v>42</v>
      </c>
      <c r="D22" s="106" t="s">
        <v>38</v>
      </c>
      <c r="E22" s="19">
        <v>9</v>
      </c>
      <c r="F22" s="20">
        <f t="shared" si="1"/>
        <v>201593.31500000003</v>
      </c>
      <c r="G22" s="20">
        <f t="shared" si="2"/>
        <v>137750.52000000002</v>
      </c>
      <c r="H22" s="20">
        <v>104179.78</v>
      </c>
      <c r="I22" s="20">
        <v>0</v>
      </c>
      <c r="J22" s="20">
        <v>0</v>
      </c>
      <c r="K22" s="20">
        <f t="shared" si="3"/>
        <v>31462.29</v>
      </c>
      <c r="L22" s="20">
        <f>2079.48+28.97</f>
        <v>2108.4499999999998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3210.74+44.44</f>
        <v>3255.18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57646.26</v>
      </c>
      <c r="Y22" s="20">
        <v>44275.16</v>
      </c>
      <c r="Z22" s="20">
        <v>0</v>
      </c>
      <c r="AA22" s="20"/>
      <c r="AB22" s="20">
        <f t="shared" si="5"/>
        <v>13371.1</v>
      </c>
      <c r="AC22" s="25">
        <v>0</v>
      </c>
      <c r="AD22" s="25">
        <v>669.94500000000005</v>
      </c>
      <c r="AE22" s="20">
        <f t="shared" si="6"/>
        <v>1814.3</v>
      </c>
      <c r="AF22" s="20"/>
      <c r="AG22" s="237"/>
    </row>
    <row r="23" spans="1:34" ht="78.75" x14ac:dyDescent="0.25">
      <c r="A23" s="105" t="s">
        <v>47</v>
      </c>
      <c r="B23" s="17" t="s">
        <v>36</v>
      </c>
      <c r="C23" s="17" t="s">
        <v>37</v>
      </c>
      <c r="D23" s="28" t="s">
        <v>38</v>
      </c>
      <c r="E23" s="19">
        <v>18226</v>
      </c>
      <c r="F23" s="20">
        <f t="shared" si="1"/>
        <v>5759.5419999999995</v>
      </c>
      <c r="G23" s="20">
        <f t="shared" si="2"/>
        <v>3480.02</v>
      </c>
      <c r="H23" s="20">
        <v>2672.83</v>
      </c>
      <c r="I23" s="25"/>
      <c r="J23" s="25"/>
      <c r="K23" s="20">
        <f t="shared" si="3"/>
        <v>807.19</v>
      </c>
      <c r="L23" s="25">
        <v>0</v>
      </c>
      <c r="M23" s="21">
        <v>649.29</v>
      </c>
      <c r="N23" s="25">
        <v>483.44</v>
      </c>
      <c r="O23" s="25">
        <v>15.11</v>
      </c>
      <c r="P23" s="26">
        <v>0</v>
      </c>
      <c r="Q23" s="25">
        <v>163.44999999999999</v>
      </c>
      <c r="R23" s="25">
        <v>154.35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895.13</v>
      </c>
      <c r="Y23" s="27">
        <v>687.5</v>
      </c>
      <c r="Z23" s="27"/>
      <c r="AA23" s="27"/>
      <c r="AB23" s="20">
        <f t="shared" si="5"/>
        <v>207.63</v>
      </c>
      <c r="AC23" s="25">
        <v>0</v>
      </c>
      <c r="AD23" s="25">
        <v>37.042000000000002</v>
      </c>
      <c r="AE23" s="20">
        <f t="shared" si="6"/>
        <v>104973.4</v>
      </c>
      <c r="AF23" s="27">
        <v>294.2</v>
      </c>
      <c r="AG23" s="237">
        <f>ROUND(AE23+AE24+AE25+AF23,1)</f>
        <v>111749.1</v>
      </c>
      <c r="AH23" s="22">
        <f>ROUND(AG23*$AH$9,1)</f>
        <v>115094.9</v>
      </c>
    </row>
    <row r="24" spans="1:34" ht="63" x14ac:dyDescent="0.25">
      <c r="A24" s="105" t="s">
        <v>47</v>
      </c>
      <c r="B24" s="17" t="s">
        <v>39</v>
      </c>
      <c r="C24" s="17" t="s">
        <v>40</v>
      </c>
      <c r="D24" s="28" t="s">
        <v>38</v>
      </c>
      <c r="E24" s="19">
        <v>219</v>
      </c>
      <c r="F24" s="20">
        <f t="shared" si="1"/>
        <v>15684.470999999998</v>
      </c>
      <c r="G24" s="20">
        <f t="shared" si="2"/>
        <v>11247.939999999999</v>
      </c>
      <c r="H24" s="20">
        <v>8638.9699999999993</v>
      </c>
      <c r="I24" s="25"/>
      <c r="J24" s="25"/>
      <c r="K24" s="20">
        <f t="shared" si="3"/>
        <v>2608.9699999999998</v>
      </c>
      <c r="L24" s="25">
        <v>0</v>
      </c>
      <c r="M24" s="25">
        <v>223.04</v>
      </c>
      <c r="N24" s="25">
        <v>0</v>
      </c>
      <c r="O24" s="25">
        <v>0</v>
      </c>
      <c r="P24" s="26">
        <v>0</v>
      </c>
      <c r="Q24" s="25">
        <v>2727.59</v>
      </c>
      <c r="R24" s="25">
        <v>154.35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895.13</v>
      </c>
      <c r="Y24" s="27">
        <v>687.5</v>
      </c>
      <c r="Z24" s="27"/>
      <c r="AA24" s="27"/>
      <c r="AB24" s="20">
        <f t="shared" si="5"/>
        <v>207.63</v>
      </c>
      <c r="AC24" s="25">
        <v>0</v>
      </c>
      <c r="AD24" s="25">
        <v>63.040999999999997</v>
      </c>
      <c r="AE24" s="20">
        <f t="shared" si="6"/>
        <v>3434.9</v>
      </c>
      <c r="AF24" s="27">
        <v>0</v>
      </c>
      <c r="AG24" s="237"/>
    </row>
    <row r="25" spans="1:34" ht="45" x14ac:dyDescent="0.25">
      <c r="A25" s="105" t="s">
        <v>47</v>
      </c>
      <c r="B25" s="17" t="s">
        <v>41</v>
      </c>
      <c r="C25" s="107" t="s">
        <v>42</v>
      </c>
      <c r="D25" s="28" t="s">
        <v>38</v>
      </c>
      <c r="E25" s="19">
        <v>29</v>
      </c>
      <c r="F25" s="20">
        <f t="shared" si="1"/>
        <v>105055.37800000004</v>
      </c>
      <c r="G25" s="20">
        <f t="shared" si="2"/>
        <v>78950.510000000009</v>
      </c>
      <c r="H25" s="20">
        <v>60637.87</v>
      </c>
      <c r="I25" s="20"/>
      <c r="J25" s="20"/>
      <c r="K25" s="20">
        <f t="shared" si="3"/>
        <v>18312.64</v>
      </c>
      <c r="L25" s="20">
        <v>0</v>
      </c>
      <c r="M25" s="20">
        <v>412.14</v>
      </c>
      <c r="N25" s="20">
        <v>0</v>
      </c>
      <c r="O25" s="20">
        <v>0</v>
      </c>
      <c r="P25" s="20">
        <v>0</v>
      </c>
      <c r="Q25" s="20">
        <v>23980.77</v>
      </c>
      <c r="R25" s="20">
        <v>154.35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895.13</v>
      </c>
      <c r="Y25" s="27">
        <v>687.5</v>
      </c>
      <c r="Z25" s="20"/>
      <c r="AA25" s="20"/>
      <c r="AB25" s="20">
        <f t="shared" si="5"/>
        <v>207.63</v>
      </c>
      <c r="AC25" s="25">
        <v>0</v>
      </c>
      <c r="AD25" s="25">
        <v>288.22800000000001</v>
      </c>
      <c r="AE25" s="20">
        <f t="shared" si="6"/>
        <v>3046.6</v>
      </c>
      <c r="AF25" s="20">
        <v>0</v>
      </c>
      <c r="AG25" s="237"/>
    </row>
    <row r="26" spans="1:34" ht="78.75" x14ac:dyDescent="0.25">
      <c r="A26" s="105" t="s">
        <v>48</v>
      </c>
      <c r="B26" s="17" t="s">
        <v>49</v>
      </c>
      <c r="C26" s="17" t="s">
        <v>37</v>
      </c>
      <c r="D26" s="18" t="s">
        <v>38</v>
      </c>
      <c r="E26" s="19">
        <v>41460</v>
      </c>
      <c r="F26" s="20">
        <f t="shared" si="1"/>
        <v>2416.9899999999998</v>
      </c>
      <c r="G26" s="20">
        <f t="shared" si="2"/>
        <v>1870.5700000000002</v>
      </c>
      <c r="H26" s="20">
        <v>1436.69</v>
      </c>
      <c r="I26" s="25"/>
      <c r="J26" s="25"/>
      <c r="K26" s="20">
        <f t="shared" si="3"/>
        <v>433.88</v>
      </c>
      <c r="L26" s="25">
        <v>0</v>
      </c>
      <c r="M26" s="25">
        <v>138.4</v>
      </c>
      <c r="N26" s="25">
        <v>0</v>
      </c>
      <c r="O26" s="25">
        <v>21.86</v>
      </c>
      <c r="P26" s="26">
        <v>0</v>
      </c>
      <c r="Q26" s="25">
        <v>20.239999999999998</v>
      </c>
      <c r="R26" s="25">
        <v>29.38</v>
      </c>
      <c r="S26" s="25">
        <v>116.42</v>
      </c>
      <c r="T26" s="25">
        <v>0.97</v>
      </c>
      <c r="U26" s="20">
        <v>0</v>
      </c>
      <c r="V26" s="25">
        <v>3.11</v>
      </c>
      <c r="W26" s="25">
        <v>0.35</v>
      </c>
      <c r="X26" s="20">
        <f t="shared" si="4"/>
        <v>132.06</v>
      </c>
      <c r="Y26" s="27">
        <v>101.43</v>
      </c>
      <c r="Z26" s="25"/>
      <c r="AA26" s="25"/>
      <c r="AB26" s="20">
        <f t="shared" si="5"/>
        <v>30.63</v>
      </c>
      <c r="AC26" s="25">
        <v>0</v>
      </c>
      <c r="AD26" s="25">
        <v>105.49</v>
      </c>
      <c r="AE26" s="20">
        <f t="shared" si="6"/>
        <v>100208.4</v>
      </c>
      <c r="AF26" s="25">
        <f>517.9</f>
        <v>517.9</v>
      </c>
      <c r="AG26" s="237">
        <f>ROUND(AE26+AE27+AE28+AF26,1)</f>
        <v>103646.6</v>
      </c>
      <c r="AH26" s="22">
        <f>ROUND(AG26*$AH$9,1)</f>
        <v>106749.8</v>
      </c>
    </row>
    <row r="27" spans="1:34" ht="63" x14ac:dyDescent="0.25">
      <c r="A27" s="105" t="s">
        <v>48</v>
      </c>
      <c r="B27" s="17" t="s">
        <v>50</v>
      </c>
      <c r="C27" s="17" t="s">
        <v>40</v>
      </c>
      <c r="D27" s="18" t="s">
        <v>38</v>
      </c>
      <c r="E27" s="19">
        <v>316</v>
      </c>
      <c r="F27" s="20">
        <f t="shared" si="1"/>
        <v>4339.8959999999997</v>
      </c>
      <c r="G27" s="20">
        <f t="shared" si="2"/>
        <v>3526.92</v>
      </c>
      <c r="H27" s="20">
        <v>2708.85</v>
      </c>
      <c r="I27" s="25"/>
      <c r="J27" s="25"/>
      <c r="K27" s="20">
        <f t="shared" si="3"/>
        <v>818.07</v>
      </c>
      <c r="L27" s="25">
        <v>0</v>
      </c>
      <c r="M27" s="25">
        <v>397.65</v>
      </c>
      <c r="N27" s="25">
        <v>0</v>
      </c>
      <c r="O27" s="25">
        <v>55.63</v>
      </c>
      <c r="P27" s="26">
        <v>0</v>
      </c>
      <c r="Q27" s="25">
        <v>2.8</v>
      </c>
      <c r="R27" s="25">
        <v>74.040000000000006</v>
      </c>
      <c r="S27" s="25">
        <v>21.67</v>
      </c>
      <c r="T27" s="25">
        <v>2.35</v>
      </c>
      <c r="U27" s="20">
        <v>0</v>
      </c>
      <c r="V27" s="25">
        <v>6.52</v>
      </c>
      <c r="W27" s="25">
        <v>0.74</v>
      </c>
      <c r="X27" s="20">
        <f t="shared" si="4"/>
        <v>112.05999999999999</v>
      </c>
      <c r="Y27" s="27">
        <v>86.07</v>
      </c>
      <c r="Z27" s="25"/>
      <c r="AA27" s="25"/>
      <c r="AB27" s="20">
        <f t="shared" si="5"/>
        <v>25.99</v>
      </c>
      <c r="AC27" s="25">
        <v>0</v>
      </c>
      <c r="AD27" s="25">
        <v>195.14599999999999</v>
      </c>
      <c r="AE27" s="20">
        <f t="shared" si="6"/>
        <v>1371.4</v>
      </c>
      <c r="AF27" s="25">
        <v>0</v>
      </c>
      <c r="AG27" s="237"/>
    </row>
    <row r="28" spans="1:34" ht="45" x14ac:dyDescent="0.25">
      <c r="A28" s="105" t="s">
        <v>48</v>
      </c>
      <c r="B28" s="17" t="s">
        <v>41</v>
      </c>
      <c r="C28" s="107" t="s">
        <v>42</v>
      </c>
      <c r="D28" s="28" t="s">
        <v>38</v>
      </c>
      <c r="E28" s="19">
        <v>18</v>
      </c>
      <c r="F28" s="20">
        <f t="shared" si="1"/>
        <v>86052.736000000004</v>
      </c>
      <c r="G28" s="20">
        <f t="shared" si="2"/>
        <v>81521.960000000006</v>
      </c>
      <c r="H28" s="20">
        <v>62612.87</v>
      </c>
      <c r="I28" s="20"/>
      <c r="J28" s="20"/>
      <c r="K28" s="20">
        <f t="shared" si="3"/>
        <v>18909.09</v>
      </c>
      <c r="L28" s="20">
        <v>0</v>
      </c>
      <c r="M28" s="20">
        <v>398.91</v>
      </c>
      <c r="N28" s="20">
        <v>0</v>
      </c>
      <c r="O28" s="20">
        <v>398.91</v>
      </c>
      <c r="P28" s="20">
        <v>0</v>
      </c>
      <c r="Q28" s="20">
        <v>3759.9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48.26</v>
      </c>
      <c r="X28" s="20">
        <f t="shared" si="4"/>
        <v>0</v>
      </c>
      <c r="Y28" s="20">
        <v>0</v>
      </c>
      <c r="Z28" s="20"/>
      <c r="AA28" s="20"/>
      <c r="AB28" s="20">
        <f t="shared" si="5"/>
        <v>0</v>
      </c>
      <c r="AC28" s="25">
        <v>0</v>
      </c>
      <c r="AD28" s="25">
        <v>323.70600000000002</v>
      </c>
      <c r="AE28" s="20">
        <f t="shared" si="6"/>
        <v>1548.9</v>
      </c>
      <c r="AF28" s="20">
        <v>0</v>
      </c>
      <c r="AG28" s="237"/>
    </row>
    <row r="29" spans="1:34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30414</v>
      </c>
      <c r="F29" s="20">
        <f t="shared" si="1"/>
        <v>3296.6280000000002</v>
      </c>
      <c r="G29" s="20">
        <f t="shared" si="2"/>
        <v>2081.3000000000002</v>
      </c>
      <c r="H29" s="20">
        <v>1598.54</v>
      </c>
      <c r="I29" s="30"/>
      <c r="J29" s="30"/>
      <c r="K29" s="20">
        <f t="shared" si="3"/>
        <v>482.76</v>
      </c>
      <c r="L29" s="30">
        <v>0</v>
      </c>
      <c r="M29" s="21">
        <v>237.83</v>
      </c>
      <c r="N29" s="30">
        <v>0</v>
      </c>
      <c r="O29" s="30">
        <v>72.3</v>
      </c>
      <c r="P29" s="26">
        <v>0</v>
      </c>
      <c r="Q29" s="30">
        <v>154.91</v>
      </c>
      <c r="R29" s="30">
        <v>107.74</v>
      </c>
      <c r="S29" s="30">
        <v>94.26</v>
      </c>
      <c r="T29" s="30">
        <v>65.02</v>
      </c>
      <c r="U29" s="20">
        <v>0</v>
      </c>
      <c r="V29" s="30">
        <v>30.03</v>
      </c>
      <c r="W29" s="30">
        <v>0</v>
      </c>
      <c r="X29" s="20">
        <f t="shared" si="4"/>
        <v>373.7</v>
      </c>
      <c r="Y29" s="27">
        <v>287.02</v>
      </c>
      <c r="Z29" s="30"/>
      <c r="AA29" s="30"/>
      <c r="AB29" s="20">
        <f t="shared" si="5"/>
        <v>86.68</v>
      </c>
      <c r="AC29" s="25">
        <v>0</v>
      </c>
      <c r="AD29" s="25">
        <v>151.83799999999999</v>
      </c>
      <c r="AE29" s="20">
        <f t="shared" si="6"/>
        <v>100263.6</v>
      </c>
      <c r="AF29" s="31">
        <v>538.6</v>
      </c>
      <c r="AG29" s="237">
        <f>ROUND(AE29+AE30+AE31+AF29,1)</f>
        <v>102661.6</v>
      </c>
      <c r="AH29" s="22">
        <f>ROUND(AG29*$AH$9,1)</f>
        <v>105735.3</v>
      </c>
    </row>
    <row r="30" spans="1:34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121</v>
      </c>
      <c r="F30" s="20">
        <f t="shared" si="1"/>
        <v>10496.749</v>
      </c>
      <c r="G30" s="20">
        <f t="shared" si="2"/>
        <v>6185.37</v>
      </c>
      <c r="H30" s="20">
        <v>4750.67</v>
      </c>
      <c r="I30" s="30"/>
      <c r="J30" s="30"/>
      <c r="K30" s="20">
        <f t="shared" si="3"/>
        <v>1434.7</v>
      </c>
      <c r="L30" s="30">
        <v>0</v>
      </c>
      <c r="M30" s="30">
        <v>739.17</v>
      </c>
      <c r="N30" s="30">
        <v>0</v>
      </c>
      <c r="O30" s="30">
        <v>630.9</v>
      </c>
      <c r="P30" s="26">
        <v>0</v>
      </c>
      <c r="Q30" s="30">
        <v>48.85</v>
      </c>
      <c r="R30" s="30">
        <v>191.98</v>
      </c>
      <c r="S30" s="30">
        <v>407.04</v>
      </c>
      <c r="T30" s="30">
        <v>391.67</v>
      </c>
      <c r="U30" s="20">
        <v>0</v>
      </c>
      <c r="V30" s="30">
        <v>230.38</v>
      </c>
      <c r="W30" s="30">
        <v>0</v>
      </c>
      <c r="X30" s="20">
        <f t="shared" si="4"/>
        <v>1690.07</v>
      </c>
      <c r="Y30" s="27">
        <v>1298.06</v>
      </c>
      <c r="Z30" s="30"/>
      <c r="AA30" s="30"/>
      <c r="AB30" s="20">
        <f t="shared" si="5"/>
        <v>392.01</v>
      </c>
      <c r="AC30" s="25">
        <v>0</v>
      </c>
      <c r="AD30" s="25">
        <v>612.21900000000005</v>
      </c>
      <c r="AE30" s="20">
        <f t="shared" si="6"/>
        <v>1270.0999999999999</v>
      </c>
      <c r="AF30" s="31">
        <v>0</v>
      </c>
      <c r="AG30" s="237"/>
    </row>
    <row r="31" spans="1:34" ht="56.25" x14ac:dyDescent="0.25">
      <c r="A31" s="23" t="s">
        <v>51</v>
      </c>
      <c r="B31" s="17" t="s">
        <v>41</v>
      </c>
      <c r="C31" s="107" t="s">
        <v>42</v>
      </c>
      <c r="D31" s="28" t="s">
        <v>38</v>
      </c>
      <c r="E31" s="19">
        <v>2</v>
      </c>
      <c r="F31" s="20">
        <f t="shared" si="1"/>
        <v>294650.86200000002</v>
      </c>
      <c r="G31" s="20">
        <f t="shared" si="2"/>
        <v>162434.49</v>
      </c>
      <c r="H31" s="20">
        <v>124757.67</v>
      </c>
      <c r="I31" s="20">
        <v>0</v>
      </c>
      <c r="J31" s="20">
        <v>0</v>
      </c>
      <c r="K31" s="20">
        <f t="shared" si="3"/>
        <v>37676.82</v>
      </c>
      <c r="L31" s="20">
        <v>0</v>
      </c>
      <c r="M31" s="20">
        <v>28604.5</v>
      </c>
      <c r="N31" s="20">
        <v>0</v>
      </c>
      <c r="O31" s="20">
        <v>7094.16</v>
      </c>
      <c r="P31" s="20">
        <v>0</v>
      </c>
      <c r="Q31" s="20">
        <v>13086.7</v>
      </c>
      <c r="R31" s="20">
        <v>14976.93</v>
      </c>
      <c r="S31" s="20">
        <v>3013</v>
      </c>
      <c r="T31" s="20">
        <v>6332.34</v>
      </c>
      <c r="U31" s="20">
        <v>0</v>
      </c>
      <c r="V31" s="20">
        <v>4430.16</v>
      </c>
      <c r="W31" s="20">
        <v>0</v>
      </c>
      <c r="X31" s="20">
        <f t="shared" si="4"/>
        <v>34540.840000000004</v>
      </c>
      <c r="Y31" s="20">
        <v>26529.06</v>
      </c>
      <c r="Z31" s="20">
        <v>0</v>
      </c>
      <c r="AA31" s="20">
        <v>0</v>
      </c>
      <c r="AB31" s="20">
        <f t="shared" si="5"/>
        <v>8011.78</v>
      </c>
      <c r="AC31" s="25">
        <v>0</v>
      </c>
      <c r="AD31" s="25">
        <v>27231.901999999998</v>
      </c>
      <c r="AE31" s="20">
        <f t="shared" si="6"/>
        <v>589.29999999999995</v>
      </c>
      <c r="AF31" s="20">
        <v>0</v>
      </c>
      <c r="AG31" s="237"/>
    </row>
    <row r="32" spans="1:34" ht="78.75" x14ac:dyDescent="0.25">
      <c r="A32" s="105" t="s">
        <v>52</v>
      </c>
      <c r="B32" s="17" t="s">
        <v>36</v>
      </c>
      <c r="C32" s="17" t="s">
        <v>37</v>
      </c>
      <c r="D32" s="17" t="s">
        <v>53</v>
      </c>
      <c r="E32" s="19">
        <v>211</v>
      </c>
      <c r="F32" s="20">
        <f t="shared" si="1"/>
        <v>5496.2269999999999</v>
      </c>
      <c r="G32" s="20">
        <f t="shared" si="2"/>
        <v>2553.63</v>
      </c>
      <c r="H32" s="20">
        <v>1961.31</v>
      </c>
      <c r="I32" s="20">
        <v>0</v>
      </c>
      <c r="J32" s="20">
        <v>0</v>
      </c>
      <c r="K32" s="20">
        <f t="shared" si="3"/>
        <v>592.32000000000005</v>
      </c>
      <c r="L32" s="20">
        <v>0</v>
      </c>
      <c r="M32" s="20">
        <v>382.31</v>
      </c>
      <c r="N32" s="20">
        <v>0</v>
      </c>
      <c r="O32" s="20">
        <v>0</v>
      </c>
      <c r="P32" s="32">
        <v>0</v>
      </c>
      <c r="Q32" s="20">
        <v>1005.02</v>
      </c>
      <c r="R32" s="20">
        <v>26.6</v>
      </c>
      <c r="S32" s="20">
        <v>0</v>
      </c>
      <c r="T32" s="20">
        <v>0</v>
      </c>
      <c r="U32" s="20">
        <v>0</v>
      </c>
      <c r="V32" s="20">
        <v>38.67</v>
      </c>
      <c r="W32" s="20">
        <v>34.630000000000003</v>
      </c>
      <c r="X32" s="20">
        <f t="shared" si="4"/>
        <v>1133.22</v>
      </c>
      <c r="Y32" s="27">
        <v>870.37</v>
      </c>
      <c r="Z32" s="20">
        <v>0</v>
      </c>
      <c r="AA32" s="20">
        <v>0</v>
      </c>
      <c r="AB32" s="20">
        <f t="shared" si="5"/>
        <v>262.85000000000002</v>
      </c>
      <c r="AC32" s="20">
        <v>0</v>
      </c>
      <c r="AD32" s="20">
        <v>322.14699999999999</v>
      </c>
      <c r="AE32" s="20">
        <f t="shared" si="6"/>
        <v>1159.7</v>
      </c>
      <c r="AF32" s="25">
        <v>295.8</v>
      </c>
      <c r="AG32" s="237">
        <f>ROUND(AE32+AE33+AF32,1)</f>
        <v>8818.9</v>
      </c>
      <c r="AH32" s="22">
        <f>ROUND(AG32*$AH$9,1)</f>
        <v>9082.9</v>
      </c>
    </row>
    <row r="33" spans="1:34" ht="63" x14ac:dyDescent="0.25">
      <c r="A33" s="105" t="s">
        <v>52</v>
      </c>
      <c r="B33" s="17" t="s">
        <v>39</v>
      </c>
      <c r="C33" s="17" t="s">
        <v>40</v>
      </c>
      <c r="D33" s="17" t="s">
        <v>53</v>
      </c>
      <c r="E33" s="19">
        <v>62</v>
      </c>
      <c r="F33" s="20">
        <f t="shared" si="1"/>
        <v>118765.01199999997</v>
      </c>
      <c r="G33" s="20">
        <f t="shared" si="2"/>
        <v>36611.509999999995</v>
      </c>
      <c r="H33" s="20">
        <v>28119.439999999999</v>
      </c>
      <c r="I33" s="20">
        <v>0</v>
      </c>
      <c r="J33" s="20">
        <v>0</v>
      </c>
      <c r="K33" s="20">
        <f t="shared" si="3"/>
        <v>8492.07</v>
      </c>
      <c r="L33" s="20">
        <v>0</v>
      </c>
      <c r="M33" s="20">
        <v>100.06</v>
      </c>
      <c r="N33" s="20">
        <v>0</v>
      </c>
      <c r="O33" s="20">
        <v>0</v>
      </c>
      <c r="P33" s="32">
        <v>0</v>
      </c>
      <c r="Q33" s="20">
        <v>3029.65</v>
      </c>
      <c r="R33" s="20">
        <v>1449.89</v>
      </c>
      <c r="S33" s="20">
        <v>38545.279999999999</v>
      </c>
      <c r="T33" s="20">
        <v>26478.15</v>
      </c>
      <c r="U33" s="20">
        <v>0</v>
      </c>
      <c r="V33" s="20">
        <v>3188.47</v>
      </c>
      <c r="W33" s="20">
        <v>270.01</v>
      </c>
      <c r="X33" s="20">
        <f t="shared" si="4"/>
        <v>8974.5300000000007</v>
      </c>
      <c r="Y33" s="27">
        <v>6892.88</v>
      </c>
      <c r="Z33" s="20">
        <v>0</v>
      </c>
      <c r="AA33" s="20">
        <v>0</v>
      </c>
      <c r="AB33" s="20">
        <f t="shared" si="5"/>
        <v>2081.65</v>
      </c>
      <c r="AC33" s="20">
        <v>0</v>
      </c>
      <c r="AD33" s="20">
        <v>117.462</v>
      </c>
      <c r="AE33" s="20">
        <f t="shared" si="6"/>
        <v>7363.4</v>
      </c>
      <c r="AF33" s="25">
        <v>0</v>
      </c>
      <c r="AG33" s="237"/>
    </row>
    <row r="34" spans="1:34" ht="78.75" x14ac:dyDescent="0.25">
      <c r="A34" s="105" t="s">
        <v>54</v>
      </c>
      <c r="B34" s="17" t="s">
        <v>49</v>
      </c>
      <c r="C34" s="17" t="s">
        <v>37</v>
      </c>
      <c r="D34" s="17" t="s">
        <v>45</v>
      </c>
      <c r="E34" s="19">
        <v>2037</v>
      </c>
      <c r="F34" s="20">
        <f t="shared" si="1"/>
        <v>2024.4480000000001</v>
      </c>
      <c r="G34" s="20">
        <f t="shared" si="2"/>
        <v>732.80000000000007</v>
      </c>
      <c r="H34" s="20">
        <v>562.83000000000004</v>
      </c>
      <c r="I34" s="25">
        <v>0</v>
      </c>
      <c r="J34" s="25">
        <v>0</v>
      </c>
      <c r="K34" s="20">
        <f t="shared" si="3"/>
        <v>169.97</v>
      </c>
      <c r="L34" s="25">
        <v>0</v>
      </c>
      <c r="M34" s="25">
        <v>89.28</v>
      </c>
      <c r="N34" s="25">
        <v>0</v>
      </c>
      <c r="O34" s="25">
        <v>0</v>
      </c>
      <c r="P34" s="26">
        <v>0</v>
      </c>
      <c r="Q34" s="25">
        <v>82.67</v>
      </c>
      <c r="R34" s="25">
        <v>45.01</v>
      </c>
      <c r="S34" s="25">
        <v>77.02</v>
      </c>
      <c r="T34" s="25">
        <v>343.43</v>
      </c>
      <c r="U34" s="20">
        <v>0</v>
      </c>
      <c r="V34" s="27">
        <v>13.64</v>
      </c>
      <c r="W34" s="27">
        <v>3.58</v>
      </c>
      <c r="X34" s="20">
        <f t="shared" si="4"/>
        <v>464.06</v>
      </c>
      <c r="Y34" s="27">
        <v>356.42</v>
      </c>
      <c r="Z34" s="27">
        <v>0</v>
      </c>
      <c r="AA34" s="27">
        <v>0</v>
      </c>
      <c r="AB34" s="20">
        <f t="shared" si="5"/>
        <v>107.64</v>
      </c>
      <c r="AC34" s="25">
        <v>0</v>
      </c>
      <c r="AD34" s="25">
        <v>172.958</v>
      </c>
      <c r="AE34" s="20">
        <f t="shared" si="6"/>
        <v>4123.8</v>
      </c>
      <c r="AF34" s="25">
        <v>276.2</v>
      </c>
      <c r="AG34" s="237">
        <f>ROUND(AE34+AE35+AF34,1)</f>
        <v>4959.7</v>
      </c>
      <c r="AH34" s="22">
        <f>ROUND(AG34*$AH$9,1)</f>
        <v>5108.2</v>
      </c>
    </row>
    <row r="35" spans="1:34" ht="63" x14ac:dyDescent="0.25">
      <c r="A35" s="105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55971.62</v>
      </c>
      <c r="G35" s="20">
        <f t="shared" si="2"/>
        <v>25641.02</v>
      </c>
      <c r="H35" s="20">
        <v>19693.560000000001</v>
      </c>
      <c r="I35" s="25">
        <v>0</v>
      </c>
      <c r="J35" s="25">
        <v>0</v>
      </c>
      <c r="K35" s="20">
        <f t="shared" si="3"/>
        <v>5947.46</v>
      </c>
      <c r="L35" s="25">
        <v>0</v>
      </c>
      <c r="M35" s="25">
        <v>737.95</v>
      </c>
      <c r="N35" s="25">
        <v>0</v>
      </c>
      <c r="O35" s="25">
        <v>688.69</v>
      </c>
      <c r="P35" s="26">
        <v>0</v>
      </c>
      <c r="Q35" s="25">
        <v>1499.47</v>
      </c>
      <c r="R35" s="25">
        <v>1784.35</v>
      </c>
      <c r="S35" s="25">
        <v>2852.63</v>
      </c>
      <c r="T35" s="25">
        <v>8084.49</v>
      </c>
      <c r="U35" s="20">
        <v>0</v>
      </c>
      <c r="V35" s="27">
        <v>1636.11</v>
      </c>
      <c r="W35" s="27">
        <v>1044.27</v>
      </c>
      <c r="X35" s="20">
        <f t="shared" si="4"/>
        <v>10118.57</v>
      </c>
      <c r="Y35" s="27">
        <v>7771.56</v>
      </c>
      <c r="Z35" s="27">
        <v>0</v>
      </c>
      <c r="AA35" s="27">
        <v>0</v>
      </c>
      <c r="AB35" s="20">
        <f t="shared" si="5"/>
        <v>2347.0100000000002</v>
      </c>
      <c r="AC35" s="25">
        <v>0</v>
      </c>
      <c r="AD35" s="25">
        <v>2572.7600000000002</v>
      </c>
      <c r="AE35" s="20">
        <f t="shared" si="6"/>
        <v>559.70000000000005</v>
      </c>
      <c r="AF35" s="27">
        <v>0</v>
      </c>
      <c r="AG35" s="237"/>
    </row>
    <row r="36" spans="1:34" ht="78.75" x14ac:dyDescent="0.25">
      <c r="A36" s="105" t="s">
        <v>55</v>
      </c>
      <c r="B36" s="17" t="s">
        <v>56</v>
      </c>
      <c r="C36" s="17" t="s">
        <v>37</v>
      </c>
      <c r="D36" s="18" t="s">
        <v>53</v>
      </c>
      <c r="E36" s="19">
        <v>3627</v>
      </c>
      <c r="F36" s="20">
        <f t="shared" si="1"/>
        <v>2532.0879999999997</v>
      </c>
      <c r="G36" s="20">
        <f t="shared" si="2"/>
        <v>980.82</v>
      </c>
      <c r="H36" s="20">
        <v>753.32</v>
      </c>
      <c r="I36" s="25"/>
      <c r="J36" s="25"/>
      <c r="K36" s="20">
        <f t="shared" si="3"/>
        <v>227.5</v>
      </c>
      <c r="L36" s="25">
        <v>0</v>
      </c>
      <c r="M36" s="25">
        <v>561.79999999999995</v>
      </c>
      <c r="N36" s="25">
        <v>0</v>
      </c>
      <c r="O36" s="25">
        <v>44.97</v>
      </c>
      <c r="P36" s="26">
        <v>0</v>
      </c>
      <c r="Q36" s="25">
        <v>83.59</v>
      </c>
      <c r="R36" s="25">
        <v>148.34</v>
      </c>
      <c r="S36" s="25">
        <v>42.8</v>
      </c>
      <c r="T36" s="25">
        <v>45.49</v>
      </c>
      <c r="U36" s="20">
        <v>0</v>
      </c>
      <c r="V36" s="25">
        <v>8.14</v>
      </c>
      <c r="W36" s="25">
        <v>0</v>
      </c>
      <c r="X36" s="20">
        <f t="shared" si="4"/>
        <v>605.08000000000004</v>
      </c>
      <c r="Y36" s="27">
        <v>464.68</v>
      </c>
      <c r="Z36" s="25"/>
      <c r="AA36" s="25"/>
      <c r="AB36" s="20">
        <f t="shared" si="5"/>
        <v>140.33000000000001</v>
      </c>
      <c r="AC36" s="25">
        <v>7.0000000000000007E-2</v>
      </c>
      <c r="AD36" s="25">
        <v>56.027999999999999</v>
      </c>
      <c r="AE36" s="20">
        <f t="shared" si="6"/>
        <v>9183.9</v>
      </c>
      <c r="AF36" s="25">
        <v>97.4</v>
      </c>
      <c r="AG36" s="237">
        <f>ROUND(AE36+AE37+AF36,1)</f>
        <v>10217.799999999999</v>
      </c>
      <c r="AH36" s="22">
        <f>ROUND(AG36*$AH$9,1)</f>
        <v>10523.7</v>
      </c>
    </row>
    <row r="37" spans="1:34" ht="63" x14ac:dyDescent="0.25">
      <c r="A37" s="105" t="s">
        <v>55</v>
      </c>
      <c r="B37" s="33" t="s">
        <v>57</v>
      </c>
      <c r="C37" s="17" t="s">
        <v>40</v>
      </c>
      <c r="D37" s="18" t="s">
        <v>45</v>
      </c>
      <c r="E37" s="19">
        <v>51</v>
      </c>
      <c r="F37" s="20">
        <f t="shared" si="1"/>
        <v>18361.863000000001</v>
      </c>
      <c r="G37" s="20">
        <f t="shared" si="2"/>
        <v>6836.62</v>
      </c>
      <c r="H37" s="20">
        <v>5250.86</v>
      </c>
      <c r="I37" s="25"/>
      <c r="J37" s="25"/>
      <c r="K37" s="20">
        <f t="shared" si="3"/>
        <v>1585.76</v>
      </c>
      <c r="L37" s="25">
        <v>0</v>
      </c>
      <c r="M37" s="25">
        <v>484.29</v>
      </c>
      <c r="N37" s="25">
        <v>0</v>
      </c>
      <c r="O37" s="25">
        <v>266.63</v>
      </c>
      <c r="P37" s="26">
        <v>0</v>
      </c>
      <c r="Q37" s="25">
        <v>20.49</v>
      </c>
      <c r="R37" s="25">
        <v>178.32</v>
      </c>
      <c r="S37" s="25">
        <v>716.61</v>
      </c>
      <c r="T37" s="25">
        <v>114.32</v>
      </c>
      <c r="U37" s="20">
        <v>0</v>
      </c>
      <c r="V37" s="25">
        <v>48.22</v>
      </c>
      <c r="W37" s="25">
        <v>0</v>
      </c>
      <c r="X37" s="20">
        <f t="shared" si="4"/>
        <v>9566.0800000000017</v>
      </c>
      <c r="Y37" s="27">
        <v>7346.68</v>
      </c>
      <c r="Z37" s="25"/>
      <c r="AA37" s="25"/>
      <c r="AB37" s="20">
        <f t="shared" si="5"/>
        <v>2218.6999999999998</v>
      </c>
      <c r="AC37" s="25">
        <v>0.7</v>
      </c>
      <c r="AD37" s="25">
        <v>396.91300000000001</v>
      </c>
      <c r="AE37" s="20">
        <f t="shared" si="6"/>
        <v>936.5</v>
      </c>
      <c r="AF37" s="25">
        <v>0</v>
      </c>
      <c r="AG37" s="237"/>
    </row>
    <row r="38" spans="1:34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30</v>
      </c>
      <c r="F38" s="20">
        <f t="shared" si="1"/>
        <v>97541.053999999989</v>
      </c>
      <c r="G38" s="20">
        <f t="shared" si="2"/>
        <v>48510.09</v>
      </c>
      <c r="H38" s="20">
        <v>37258.129999999997</v>
      </c>
      <c r="I38" s="25">
        <v>0</v>
      </c>
      <c r="J38" s="25">
        <v>0</v>
      </c>
      <c r="K38" s="20">
        <f t="shared" si="3"/>
        <v>11251.96</v>
      </c>
      <c r="L38" s="25">
        <v>0</v>
      </c>
      <c r="M38" s="25">
        <v>5118.01</v>
      </c>
      <c r="N38" s="25">
        <v>3259.87</v>
      </c>
      <c r="O38" s="25">
        <v>1059.47</v>
      </c>
      <c r="P38" s="25">
        <v>0</v>
      </c>
      <c r="Q38" s="25">
        <v>1206.1600000000001</v>
      </c>
      <c r="R38" s="25">
        <v>9684.6200000000008</v>
      </c>
      <c r="S38" s="25">
        <v>2884.98</v>
      </c>
      <c r="T38" s="25">
        <v>977.96</v>
      </c>
      <c r="U38" s="20">
        <v>0</v>
      </c>
      <c r="V38" s="25">
        <v>3540.23</v>
      </c>
      <c r="W38" s="25">
        <v>0</v>
      </c>
      <c r="X38" s="20">
        <f t="shared" si="4"/>
        <v>22754.35</v>
      </c>
      <c r="Y38" s="27">
        <v>17476.46</v>
      </c>
      <c r="Z38" s="25"/>
      <c r="AA38" s="25"/>
      <c r="AB38" s="20">
        <f t="shared" si="5"/>
        <v>5277.89</v>
      </c>
      <c r="AC38" s="25">
        <v>0</v>
      </c>
      <c r="AD38" s="25">
        <v>2864.654</v>
      </c>
      <c r="AE38" s="20">
        <f t="shared" si="6"/>
        <v>2926.2</v>
      </c>
      <c r="AF38" s="20">
        <v>164.4</v>
      </c>
      <c r="AG38" s="98">
        <f>ROUND(AE38+AF38,1)</f>
        <v>3090.6</v>
      </c>
      <c r="AH38" s="22">
        <f>ROUND(AG38*$AH$9,1)</f>
        <v>3183.1</v>
      </c>
    </row>
    <row r="39" spans="1:34" ht="63" x14ac:dyDescent="0.25">
      <c r="A39" s="105" t="s">
        <v>59</v>
      </c>
      <c r="B39" s="17" t="s">
        <v>39</v>
      </c>
      <c r="C39" s="17" t="s">
        <v>40</v>
      </c>
      <c r="D39" s="17" t="s">
        <v>45</v>
      </c>
      <c r="E39" s="19">
        <v>17</v>
      </c>
      <c r="F39" s="20">
        <f t="shared" si="1"/>
        <v>80190.081000000006</v>
      </c>
      <c r="G39" s="20">
        <f t="shared" si="2"/>
        <v>50810.66</v>
      </c>
      <c r="H39" s="20">
        <v>38585.78</v>
      </c>
      <c r="I39" s="25"/>
      <c r="J39" s="25"/>
      <c r="K39" s="20">
        <f t="shared" si="3"/>
        <v>11652.91</v>
      </c>
      <c r="L39" s="25">
        <v>571.97</v>
      </c>
      <c r="M39" s="25">
        <v>380.96</v>
      </c>
      <c r="N39" s="25">
        <v>0</v>
      </c>
      <c r="O39" s="25">
        <v>29.9</v>
      </c>
      <c r="P39" s="26">
        <v>0</v>
      </c>
      <c r="Q39" s="25">
        <v>0</v>
      </c>
      <c r="R39" s="25">
        <v>1333.64</v>
      </c>
      <c r="S39" s="25">
        <v>12771.28</v>
      </c>
      <c r="T39" s="25">
        <v>1765.68</v>
      </c>
      <c r="U39" s="20">
        <v>0</v>
      </c>
      <c r="V39" s="25">
        <v>319.86</v>
      </c>
      <c r="W39" s="25">
        <v>0</v>
      </c>
      <c r="X39" s="20">
        <f t="shared" si="4"/>
        <v>10541.470000000001</v>
      </c>
      <c r="Y39" s="27">
        <v>7901.59</v>
      </c>
      <c r="Z39" s="25"/>
      <c r="AA39" s="25"/>
      <c r="AB39" s="20">
        <f t="shared" si="5"/>
        <v>2386.2800000000002</v>
      </c>
      <c r="AC39" s="25">
        <v>253.6</v>
      </c>
      <c r="AD39" s="25">
        <v>2266.5309999999999</v>
      </c>
      <c r="AE39" s="51">
        <f t="shared" si="6"/>
        <v>1363.2</v>
      </c>
      <c r="AF39" s="52">
        <v>165.4</v>
      </c>
      <c r="AG39" s="100">
        <f>ROUND(AE39+AF39,1)</f>
        <v>1528.6</v>
      </c>
      <c r="AH39" s="22">
        <f>ROUND(AG39*$AH$9,1)</f>
        <v>1574.4</v>
      </c>
    </row>
    <row r="40" spans="1:34" ht="63" x14ac:dyDescent="0.25">
      <c r="A40" s="257" t="s">
        <v>60</v>
      </c>
      <c r="B40" s="106" t="s">
        <v>61</v>
      </c>
      <c r="C40" s="106" t="s">
        <v>62</v>
      </c>
      <c r="D40" s="106" t="s">
        <v>45</v>
      </c>
      <c r="E40" s="19">
        <v>496</v>
      </c>
      <c r="F40" s="20">
        <f>SUM(G40,M40,Q40,R40,S40,T40,V40,W40,X40,AD40,P40,U40)</f>
        <v>17102.309999999998</v>
      </c>
      <c r="G40" s="20">
        <f>SUM(H40:L40)</f>
        <v>7070.2000000000007</v>
      </c>
      <c r="H40" s="20">
        <v>5430.26</v>
      </c>
      <c r="I40" s="20"/>
      <c r="J40" s="20"/>
      <c r="K40" s="20">
        <f>ROUND(H40*0.302,2)</f>
        <v>1639.94</v>
      </c>
      <c r="L40" s="20">
        <v>0</v>
      </c>
      <c r="M40" s="20">
        <v>785.2</v>
      </c>
      <c r="N40" s="20">
        <v>0</v>
      </c>
      <c r="O40" s="20">
        <v>0</v>
      </c>
      <c r="P40" s="20">
        <v>0</v>
      </c>
      <c r="Q40" s="20">
        <v>257.02</v>
      </c>
      <c r="R40" s="20">
        <v>1007.95</v>
      </c>
      <c r="S40" s="20">
        <v>1125.78</v>
      </c>
      <c r="T40" s="20">
        <v>110.3</v>
      </c>
      <c r="U40" s="20">
        <v>0</v>
      </c>
      <c r="V40" s="20">
        <v>461.49</v>
      </c>
      <c r="W40" s="20">
        <v>2.31</v>
      </c>
      <c r="X40" s="20">
        <f>SUM(Y40:AC40)</f>
        <v>5404.71</v>
      </c>
      <c r="Y40" s="27">
        <v>4151.08</v>
      </c>
      <c r="Z40" s="20"/>
      <c r="AA40" s="20"/>
      <c r="AB40" s="20">
        <f>ROUND(Y40*0.302,2)</f>
        <v>1253.6300000000001</v>
      </c>
      <c r="AC40" s="25">
        <v>0</v>
      </c>
      <c r="AD40" s="96">
        <v>877.35</v>
      </c>
      <c r="AE40" s="104">
        <f t="shared" si="6"/>
        <v>8482.7000000000007</v>
      </c>
      <c r="AF40" s="104">
        <v>4.0999999999999996</v>
      </c>
      <c r="AG40" s="256">
        <f>SUM(AE40:AF43)</f>
        <v>19319.400000000001</v>
      </c>
      <c r="AH40" s="22">
        <f>ROUND(AG40*$AH$9,1)</f>
        <v>19897.8</v>
      </c>
    </row>
    <row r="41" spans="1:34" ht="120" x14ac:dyDescent="0.25">
      <c r="A41" s="258"/>
      <c r="B41" s="86" t="s">
        <v>82</v>
      </c>
      <c r="C41" s="39" t="s">
        <v>64</v>
      </c>
      <c r="D41" s="38" t="s">
        <v>65</v>
      </c>
      <c r="E41" s="40">
        <v>1734</v>
      </c>
      <c r="F41" s="41">
        <f>SUM(G41,M41,Q41,R41,S41,T41,V41,W41,X41,AD41,P41,U41)</f>
        <v>2277.13</v>
      </c>
      <c r="G41" s="41">
        <f>SUM(H41:L41)</f>
        <v>1138.8600000000001</v>
      </c>
      <c r="H41" s="41">
        <v>874.7</v>
      </c>
      <c r="I41" s="42"/>
      <c r="J41" s="41"/>
      <c r="K41" s="41">
        <f>ROUND(H41*0.302,2)</f>
        <v>264.16000000000003</v>
      </c>
      <c r="L41" s="41">
        <v>0</v>
      </c>
      <c r="M41" s="42">
        <v>23.18</v>
      </c>
      <c r="N41" s="42">
        <v>0</v>
      </c>
      <c r="O41" s="42">
        <v>8.2100000000000009</v>
      </c>
      <c r="P41" s="42">
        <v>0</v>
      </c>
      <c r="Q41" s="42">
        <v>0</v>
      </c>
      <c r="R41" s="41">
        <v>10.75</v>
      </c>
      <c r="S41" s="42">
        <v>24.96</v>
      </c>
      <c r="T41" s="41">
        <v>43.95</v>
      </c>
      <c r="U41" s="41">
        <v>0</v>
      </c>
      <c r="V41" s="42">
        <v>31.72</v>
      </c>
      <c r="W41" s="41">
        <v>25.79</v>
      </c>
      <c r="X41" s="41">
        <f>SUM(Y41:AC41)</f>
        <v>527.70000000000005</v>
      </c>
      <c r="Y41" s="43">
        <v>405.3</v>
      </c>
      <c r="Z41" s="42">
        <v>0</v>
      </c>
      <c r="AA41" s="41">
        <v>0</v>
      </c>
      <c r="AB41" s="41">
        <f>ROUND(Y41*0.302,2)</f>
        <v>122.4</v>
      </c>
      <c r="AC41" s="42">
        <v>0</v>
      </c>
      <c r="AD41" s="97">
        <v>450.22</v>
      </c>
      <c r="AE41" s="104">
        <f t="shared" si="6"/>
        <v>3948.5</v>
      </c>
      <c r="AF41" s="95">
        <v>52.7</v>
      </c>
      <c r="AG41" s="256"/>
    </row>
    <row r="42" spans="1:34" ht="180" x14ac:dyDescent="0.25">
      <c r="A42" s="258"/>
      <c r="B42" s="88" t="s">
        <v>83</v>
      </c>
      <c r="C42" s="39" t="s">
        <v>64</v>
      </c>
      <c r="D42" s="38" t="s">
        <v>65</v>
      </c>
      <c r="E42" s="89">
        <v>1000</v>
      </c>
      <c r="F42" s="41">
        <f>SUM(G42,M42,Q42,R42,S42,T42,V42,W42,X42,AD42,P42,U42)</f>
        <v>2277.13</v>
      </c>
      <c r="G42" s="41">
        <f>SUM(H42:L42)</f>
        <v>1138.8600000000001</v>
      </c>
      <c r="H42" s="41">
        <v>874.7</v>
      </c>
      <c r="I42" s="42"/>
      <c r="J42" s="41"/>
      <c r="K42" s="41">
        <f>ROUND(H42*0.302,2)</f>
        <v>264.16000000000003</v>
      </c>
      <c r="L42" s="41">
        <v>0</v>
      </c>
      <c r="M42" s="42">
        <v>23.18</v>
      </c>
      <c r="N42" s="42">
        <v>0</v>
      </c>
      <c r="O42" s="42">
        <v>8.2100000000000009</v>
      </c>
      <c r="P42" s="42">
        <v>0</v>
      </c>
      <c r="Q42" s="42">
        <v>0</v>
      </c>
      <c r="R42" s="41">
        <v>10.75</v>
      </c>
      <c r="S42" s="42">
        <v>24.96</v>
      </c>
      <c r="T42" s="41">
        <v>43.95</v>
      </c>
      <c r="U42" s="41">
        <v>0</v>
      </c>
      <c r="V42" s="42">
        <v>31.72</v>
      </c>
      <c r="W42" s="41">
        <v>25.79</v>
      </c>
      <c r="X42" s="41">
        <f>SUM(Y42:AC42)</f>
        <v>527.70000000000005</v>
      </c>
      <c r="Y42" s="43">
        <v>405.3</v>
      </c>
      <c r="Z42" s="42">
        <v>0</v>
      </c>
      <c r="AA42" s="41">
        <v>0</v>
      </c>
      <c r="AB42" s="41">
        <f>ROUND(Y42*0.302,2)</f>
        <v>122.4</v>
      </c>
      <c r="AC42" s="42">
        <v>0</v>
      </c>
      <c r="AD42" s="97">
        <v>450.22</v>
      </c>
      <c r="AE42" s="104">
        <f t="shared" si="6"/>
        <v>2277.1</v>
      </c>
      <c r="AF42" s="95">
        <v>0</v>
      </c>
      <c r="AG42" s="256"/>
    </row>
    <row r="43" spans="1:34" ht="90" x14ac:dyDescent="0.25">
      <c r="A43" s="258"/>
      <c r="B43" s="88" t="s">
        <v>84</v>
      </c>
      <c r="C43" s="39" t="s">
        <v>64</v>
      </c>
      <c r="D43" s="38" t="s">
        <v>65</v>
      </c>
      <c r="E43" s="89">
        <v>2000</v>
      </c>
      <c r="F43" s="41">
        <f>SUM(G43,M43,Q43,R43,S43,T43,V43,W43,X43,AD43,P43,U43)</f>
        <v>2277.13</v>
      </c>
      <c r="G43" s="41">
        <f>SUM(H43:L43)</f>
        <v>1138.8600000000001</v>
      </c>
      <c r="H43" s="41">
        <v>874.7</v>
      </c>
      <c r="I43" s="42"/>
      <c r="J43" s="41"/>
      <c r="K43" s="41">
        <f>ROUND(H43*0.302,2)</f>
        <v>264.16000000000003</v>
      </c>
      <c r="L43" s="41">
        <v>0</v>
      </c>
      <c r="M43" s="42">
        <v>23.18</v>
      </c>
      <c r="N43" s="42">
        <v>0</v>
      </c>
      <c r="O43" s="42">
        <v>8.2100000000000009</v>
      </c>
      <c r="P43" s="42">
        <v>0</v>
      </c>
      <c r="Q43" s="42">
        <v>0</v>
      </c>
      <c r="R43" s="41">
        <v>10.75</v>
      </c>
      <c r="S43" s="42">
        <v>24.96</v>
      </c>
      <c r="T43" s="41">
        <v>43.95</v>
      </c>
      <c r="U43" s="41">
        <v>0</v>
      </c>
      <c r="V43" s="42">
        <v>31.72</v>
      </c>
      <c r="W43" s="41">
        <v>25.79</v>
      </c>
      <c r="X43" s="41">
        <f>SUM(Y43:AC43)</f>
        <v>527.70000000000005</v>
      </c>
      <c r="Y43" s="43">
        <v>405.3</v>
      </c>
      <c r="Z43" s="42">
        <v>0</v>
      </c>
      <c r="AA43" s="41">
        <v>0</v>
      </c>
      <c r="AB43" s="41">
        <f>ROUND(Y43*0.302,2)</f>
        <v>122.4</v>
      </c>
      <c r="AC43" s="42">
        <v>0</v>
      </c>
      <c r="AD43" s="97">
        <v>450.22</v>
      </c>
      <c r="AE43" s="104">
        <f t="shared" si="6"/>
        <v>4554.3</v>
      </c>
      <c r="AF43" s="95">
        <v>0</v>
      </c>
      <c r="AG43" s="256"/>
    </row>
    <row r="44" spans="1:34" ht="15.75" x14ac:dyDescent="0.25">
      <c r="AG44" s="108">
        <f>SUM(AG11:AG43)</f>
        <v>738454.79999999993</v>
      </c>
      <c r="AH44" s="22">
        <f>SUM(AH11:AH43)</f>
        <v>760564.10000000009</v>
      </c>
    </row>
    <row r="46" spans="1:34" ht="18.75" x14ac:dyDescent="0.25">
      <c r="AG46" s="109">
        <v>760563.19999999995</v>
      </c>
      <c r="AH46" s="161" t="s">
        <v>92</v>
      </c>
    </row>
    <row r="47" spans="1:34" x14ac:dyDescent="0.25">
      <c r="AG47">
        <f>AG46/AG44</f>
        <v>1.0299387315242585</v>
      </c>
    </row>
  </sheetData>
  <mergeCells count="52"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AG36:AG37"/>
    <mergeCell ref="A40:A43"/>
    <mergeCell ref="AG40:AG43"/>
    <mergeCell ref="AG17:AG19"/>
    <mergeCell ref="AG20:AG22"/>
    <mergeCell ref="AG23:AG25"/>
    <mergeCell ref="AG26:AG28"/>
    <mergeCell ref="AG29:AG31"/>
    <mergeCell ref="AG32:AG33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49"/>
  <sheetViews>
    <sheetView zoomScale="70" zoomScaleNormal="70" workbookViewId="0">
      <pane ySplit="10" topLeftCell="A13" activePane="bottomLeft" state="frozen"/>
      <selection activeCell="G15" sqref="G15"/>
      <selection pane="bottomLeft" activeCell="G15" sqref="G15"/>
    </sheetView>
  </sheetViews>
  <sheetFormatPr defaultRowHeight="15" x14ac:dyDescent="0.25"/>
  <cols>
    <col min="1" max="1" width="19.28515625" customWidth="1"/>
    <col min="2" max="2" width="62.140625" customWidth="1"/>
    <col min="3" max="3" width="25.570312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customWidth="1"/>
  </cols>
  <sheetData>
    <row r="1" spans="1:36" x14ac:dyDescent="0.25">
      <c r="A1" t="s">
        <v>87</v>
      </c>
    </row>
    <row r="2" spans="1:36" ht="18.75" x14ac:dyDescent="0.3">
      <c r="A2" s="118" t="s">
        <v>72</v>
      </c>
      <c r="B2" s="124" t="s">
        <v>89</v>
      </c>
      <c r="C2" s="138" t="s">
        <v>93</v>
      </c>
    </row>
    <row r="3" spans="1:36" ht="15.75" x14ac:dyDescent="0.25">
      <c r="A3" s="247" t="s">
        <v>0</v>
      </c>
      <c r="B3" s="243" t="s">
        <v>1</v>
      </c>
      <c r="C3" s="248" t="s">
        <v>2</v>
      </c>
      <c r="D3" s="248"/>
      <c r="E3" s="112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4</v>
      </c>
      <c r="AF3" s="243" t="s">
        <v>5</v>
      </c>
      <c r="AG3" s="244" t="s">
        <v>6</v>
      </c>
      <c r="AH3" s="4"/>
      <c r="AI3" s="4"/>
    </row>
    <row r="4" spans="1:36" ht="15.75" x14ac:dyDescent="0.25">
      <c r="A4" s="238"/>
      <c r="B4" s="242"/>
      <c r="C4" s="249" t="s">
        <v>7</v>
      </c>
      <c r="D4" s="249" t="s">
        <v>8</v>
      </c>
      <c r="E4" s="249" t="s">
        <v>9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  <c r="AF4" s="242"/>
      <c r="AG4" s="245"/>
      <c r="AH4" s="4"/>
      <c r="AI4" s="4"/>
    </row>
    <row r="5" spans="1:36" ht="15.75" x14ac:dyDescent="0.25">
      <c r="A5" s="238"/>
      <c r="B5" s="242"/>
      <c r="C5" s="249"/>
      <c r="D5" s="249"/>
      <c r="E5" s="249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  <c r="AF5" s="242"/>
      <c r="AG5" s="245"/>
      <c r="AH5" s="4"/>
      <c r="AI5" s="4"/>
    </row>
    <row r="6" spans="1:36" ht="15.75" x14ac:dyDescent="0.25">
      <c r="A6" s="238"/>
      <c r="B6" s="242"/>
      <c r="C6" s="249"/>
      <c r="D6" s="249"/>
      <c r="E6" s="249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  <c r="AF6" s="242"/>
      <c r="AG6" s="245"/>
      <c r="AH6" s="4"/>
      <c r="AI6" s="4"/>
    </row>
    <row r="7" spans="1:36" x14ac:dyDescent="0.25">
      <c r="A7" s="238"/>
      <c r="B7" s="242"/>
      <c r="C7" s="249"/>
      <c r="D7" s="249"/>
      <c r="E7" s="249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  <c r="AF7" s="242"/>
      <c r="AG7" s="245"/>
      <c r="AH7" s="4"/>
      <c r="AI7" s="4"/>
    </row>
    <row r="8" spans="1:36" ht="15.75" x14ac:dyDescent="0.25">
      <c r="A8" s="238"/>
      <c r="B8" s="242"/>
      <c r="C8" s="249"/>
      <c r="D8" s="249"/>
      <c r="E8" s="249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  <c r="AF8" s="242"/>
      <c r="AG8" s="245"/>
      <c r="AH8" s="4"/>
      <c r="AI8" s="4"/>
    </row>
    <row r="9" spans="1:36" ht="94.5" x14ac:dyDescent="0.25">
      <c r="A9" s="238"/>
      <c r="B9" s="242"/>
      <c r="C9" s="249"/>
      <c r="D9" s="249"/>
      <c r="E9" s="249"/>
      <c r="F9" s="246"/>
      <c r="G9" s="246"/>
      <c r="H9" s="242"/>
      <c r="I9" s="242"/>
      <c r="J9" s="242"/>
      <c r="K9" s="242"/>
      <c r="L9" s="242"/>
      <c r="M9" s="246"/>
      <c r="N9" s="110" t="s">
        <v>33</v>
      </c>
      <c r="O9" s="110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  <c r="AF9" s="242"/>
      <c r="AG9" s="245"/>
      <c r="AH9" s="44" t="s">
        <v>68</v>
      </c>
      <c r="AI9" s="45" t="s">
        <v>69</v>
      </c>
    </row>
    <row r="10" spans="1:36" ht="15.75" x14ac:dyDescent="0.25">
      <c r="A10" s="111">
        <v>1</v>
      </c>
      <c r="B10" s="116">
        <v>2</v>
      </c>
      <c r="C10" s="113">
        <v>3</v>
      </c>
      <c r="D10" s="116">
        <v>4</v>
      </c>
      <c r="E10" s="113">
        <v>5</v>
      </c>
      <c r="F10" s="116">
        <v>6</v>
      </c>
      <c r="G10" s="113">
        <v>7</v>
      </c>
      <c r="H10" s="116">
        <v>8</v>
      </c>
      <c r="I10" s="113">
        <v>9</v>
      </c>
      <c r="J10" s="116">
        <v>10</v>
      </c>
      <c r="K10" s="113">
        <v>11</v>
      </c>
      <c r="L10" s="116">
        <v>12</v>
      </c>
      <c r="M10" s="113">
        <v>13</v>
      </c>
      <c r="N10" s="110">
        <v>14</v>
      </c>
      <c r="O10" s="116">
        <v>15</v>
      </c>
      <c r="P10" s="116">
        <f>O10+1</f>
        <v>16</v>
      </c>
      <c r="Q10" s="116">
        <f t="shared" ref="Q10:AD10" si="0">P10+1</f>
        <v>17</v>
      </c>
      <c r="R10" s="116">
        <f t="shared" si="0"/>
        <v>18</v>
      </c>
      <c r="S10" s="116">
        <f t="shared" si="0"/>
        <v>19</v>
      </c>
      <c r="T10" s="116">
        <f t="shared" si="0"/>
        <v>20</v>
      </c>
      <c r="U10" s="116">
        <f t="shared" si="0"/>
        <v>21</v>
      </c>
      <c r="V10" s="116">
        <f t="shared" si="0"/>
        <v>22</v>
      </c>
      <c r="W10" s="116">
        <f t="shared" si="0"/>
        <v>23</v>
      </c>
      <c r="X10" s="116">
        <f t="shared" si="0"/>
        <v>24</v>
      </c>
      <c r="Y10" s="116">
        <f t="shared" si="0"/>
        <v>25</v>
      </c>
      <c r="Z10" s="116">
        <f t="shared" si="0"/>
        <v>26</v>
      </c>
      <c r="AA10" s="116">
        <f t="shared" si="0"/>
        <v>27</v>
      </c>
      <c r="AB10" s="116">
        <f t="shared" si="0"/>
        <v>28</v>
      </c>
      <c r="AC10" s="116">
        <f t="shared" si="0"/>
        <v>29</v>
      </c>
      <c r="AD10" s="116">
        <f t="shared" si="0"/>
        <v>30</v>
      </c>
      <c r="AE10" s="116">
        <f>AF10+1</f>
        <v>32</v>
      </c>
      <c r="AF10" s="116">
        <f>AD10+1</f>
        <v>31</v>
      </c>
      <c r="AG10" s="15"/>
      <c r="AH10" s="46"/>
      <c r="AI10" s="4"/>
    </row>
    <row r="11" spans="1:36" ht="61.5" customHeight="1" x14ac:dyDescent="0.25">
      <c r="A11" s="115" t="s">
        <v>35</v>
      </c>
      <c r="B11" s="17" t="s">
        <v>36</v>
      </c>
      <c r="C11" s="17" t="s">
        <v>37</v>
      </c>
      <c r="D11" s="18" t="s">
        <v>38</v>
      </c>
      <c r="E11" s="119">
        <v>106614</v>
      </c>
      <c r="F11" s="20">
        <f t="shared" ref="F11:F22" si="1">SUM(G11,M11,Q11,R11,S11,T11,V11,W11,X11,AD11,P11,U11)</f>
        <v>4017.96</v>
      </c>
      <c r="G11" s="20">
        <f t="shared" ref="G11:G22" si="2">SUM(H11:L11)</f>
        <v>1675.63</v>
      </c>
      <c r="H11" s="116">
        <v>1286.97</v>
      </c>
      <c r="I11" s="113"/>
      <c r="J11" s="116"/>
      <c r="K11" s="20">
        <f t="shared" ref="K11:K22" si="3">ROUND(H11*0.302,2)</f>
        <v>388.66</v>
      </c>
      <c r="L11" s="116"/>
      <c r="M11" s="113">
        <v>201.6</v>
      </c>
      <c r="N11" s="110">
        <v>0</v>
      </c>
      <c r="O11" s="116">
        <v>63.32</v>
      </c>
      <c r="P11" s="116">
        <v>0</v>
      </c>
      <c r="Q11" s="116">
        <v>1.03</v>
      </c>
      <c r="R11" s="116">
        <v>189.47</v>
      </c>
      <c r="S11" s="116">
        <v>88.740000000000009</v>
      </c>
      <c r="T11" s="116">
        <v>0</v>
      </c>
      <c r="U11" s="116">
        <v>466.4</v>
      </c>
      <c r="V11" s="116">
        <v>17.91</v>
      </c>
      <c r="W11" s="116">
        <v>0</v>
      </c>
      <c r="X11" s="20">
        <f t="shared" ref="X11:X22" si="4">SUM(Y11:AC11)</f>
        <v>1313.7</v>
      </c>
      <c r="Y11" s="116">
        <v>1008.99</v>
      </c>
      <c r="Z11" s="116"/>
      <c r="AA11" s="116"/>
      <c r="AB11" s="20">
        <f t="shared" ref="AB11:AB22" si="5">ROUND(Y11*0.302,2)</f>
        <v>304.70999999999998</v>
      </c>
      <c r="AC11" s="116"/>
      <c r="AD11" s="116">
        <v>63.480000000000004</v>
      </c>
      <c r="AE11" s="20">
        <f t="shared" ref="AE11:AE22" si="6">ROUND(E11*F11/1000,1)</f>
        <v>428370.8</v>
      </c>
      <c r="AF11" s="116">
        <v>761.2</v>
      </c>
      <c r="AG11" s="125">
        <f>SUM(AE11:AF13)</f>
        <v>437009.69999999995</v>
      </c>
      <c r="AH11" s="46"/>
      <c r="AI11" s="4"/>
    </row>
    <row r="12" spans="1:36" ht="61.5" customHeight="1" x14ac:dyDescent="0.25">
      <c r="A12" s="115" t="s">
        <v>35</v>
      </c>
      <c r="B12" s="17" t="s">
        <v>39</v>
      </c>
      <c r="C12" s="17" t="s">
        <v>40</v>
      </c>
      <c r="D12" s="18" t="s">
        <v>38</v>
      </c>
      <c r="E12" s="126">
        <v>215</v>
      </c>
      <c r="F12" s="20">
        <f t="shared" si="1"/>
        <v>31193.420000000002</v>
      </c>
      <c r="G12" s="20">
        <f t="shared" si="2"/>
        <v>26973.53</v>
      </c>
      <c r="H12" s="116">
        <v>20717</v>
      </c>
      <c r="I12" s="113"/>
      <c r="J12" s="116"/>
      <c r="K12" s="20">
        <f t="shared" si="3"/>
        <v>6256.53</v>
      </c>
      <c r="L12" s="116"/>
      <c r="M12" s="113">
        <v>239.45999999999998</v>
      </c>
      <c r="N12" s="110">
        <v>0</v>
      </c>
      <c r="O12" s="116">
        <v>38.11</v>
      </c>
      <c r="P12" s="116">
        <v>0</v>
      </c>
      <c r="Q12" s="116">
        <v>53.04</v>
      </c>
      <c r="R12" s="116">
        <v>113.1</v>
      </c>
      <c r="S12" s="116">
        <v>540.13</v>
      </c>
      <c r="T12" s="116">
        <v>0</v>
      </c>
      <c r="U12" s="116">
        <v>226.11</v>
      </c>
      <c r="V12" s="116">
        <v>12.63</v>
      </c>
      <c r="W12" s="116">
        <v>0</v>
      </c>
      <c r="X12" s="20">
        <f t="shared" si="4"/>
        <v>2485.36</v>
      </c>
      <c r="Y12" s="116">
        <v>1908.88</v>
      </c>
      <c r="Z12" s="116"/>
      <c r="AA12" s="116"/>
      <c r="AB12" s="20">
        <f t="shared" si="5"/>
        <v>576.48</v>
      </c>
      <c r="AC12" s="116"/>
      <c r="AD12" s="116">
        <v>550.05999999999995</v>
      </c>
      <c r="AE12" s="20">
        <f t="shared" si="6"/>
        <v>6706.6</v>
      </c>
      <c r="AF12" s="116"/>
      <c r="AG12" s="15"/>
      <c r="AH12" s="46"/>
      <c r="AI12" s="4"/>
    </row>
    <row r="13" spans="1:36" ht="60.75" customHeight="1" x14ac:dyDescent="0.25">
      <c r="A13" s="23" t="s">
        <v>35</v>
      </c>
      <c r="B13" s="17" t="s">
        <v>41</v>
      </c>
      <c r="C13" s="117" t="s">
        <v>42</v>
      </c>
      <c r="D13" s="18" t="s">
        <v>38</v>
      </c>
      <c r="E13" s="126">
        <v>10</v>
      </c>
      <c r="F13" s="20">
        <f t="shared" si="1"/>
        <v>117108.04</v>
      </c>
      <c r="G13" s="20">
        <f t="shared" si="2"/>
        <v>75534.01999999999</v>
      </c>
      <c r="H13" s="116">
        <v>58013.84</v>
      </c>
      <c r="I13" s="113"/>
      <c r="J13" s="116"/>
      <c r="K13" s="20">
        <f t="shared" si="3"/>
        <v>17520.18</v>
      </c>
      <c r="L13" s="116"/>
      <c r="M13" s="113">
        <v>880.7</v>
      </c>
      <c r="N13" s="110">
        <v>0</v>
      </c>
      <c r="O13" s="116">
        <v>80.180000000000007</v>
      </c>
      <c r="P13" s="116">
        <v>0</v>
      </c>
      <c r="Q13" s="116">
        <v>11936.42</v>
      </c>
      <c r="R13" s="116">
        <v>446.59999999999997</v>
      </c>
      <c r="S13" s="116">
        <v>1177.6500000000001</v>
      </c>
      <c r="T13" s="116">
        <v>0</v>
      </c>
      <c r="U13" s="116">
        <v>13781.9</v>
      </c>
      <c r="V13" s="116">
        <v>64.710000000000008</v>
      </c>
      <c r="W13" s="116">
        <v>0</v>
      </c>
      <c r="X13" s="20">
        <f t="shared" si="4"/>
        <v>10715.02</v>
      </c>
      <c r="Y13" s="116">
        <v>8229.66</v>
      </c>
      <c r="Z13" s="116"/>
      <c r="AA13" s="116"/>
      <c r="AB13" s="20">
        <f t="shared" si="5"/>
        <v>2485.36</v>
      </c>
      <c r="AC13" s="116"/>
      <c r="AD13" s="116">
        <v>2571.02</v>
      </c>
      <c r="AE13" s="20">
        <f t="shared" si="6"/>
        <v>1171.0999999999999</v>
      </c>
      <c r="AF13" s="116"/>
      <c r="AG13" s="15"/>
      <c r="AH13" s="46"/>
      <c r="AI13" s="4"/>
    </row>
    <row r="14" spans="1:36" ht="61.5" customHeight="1" x14ac:dyDescent="0.25">
      <c r="A14" s="123" t="s">
        <v>43</v>
      </c>
      <c r="B14" s="17" t="s">
        <v>36</v>
      </c>
      <c r="C14" s="17" t="s">
        <v>37</v>
      </c>
      <c r="D14" s="17" t="s">
        <v>38</v>
      </c>
      <c r="E14" s="119">
        <v>47754</v>
      </c>
      <c r="F14" s="120">
        <v>4199.8100000000004</v>
      </c>
      <c r="G14" s="20">
        <f t="shared" si="2"/>
        <v>0</v>
      </c>
      <c r="H14" s="116"/>
      <c r="I14" s="113"/>
      <c r="J14" s="116"/>
      <c r="K14" s="20">
        <f t="shared" si="3"/>
        <v>0</v>
      </c>
      <c r="L14" s="116"/>
      <c r="M14" s="113"/>
      <c r="N14" s="110"/>
      <c r="O14" s="116"/>
      <c r="P14" s="116"/>
      <c r="Q14" s="116"/>
      <c r="R14" s="116"/>
      <c r="S14" s="116"/>
      <c r="T14" s="116"/>
      <c r="U14" s="116"/>
      <c r="V14" s="116"/>
      <c r="W14" s="116"/>
      <c r="X14" s="20">
        <f t="shared" si="4"/>
        <v>0</v>
      </c>
      <c r="Y14" s="116"/>
      <c r="Z14" s="116"/>
      <c r="AA14" s="116"/>
      <c r="AB14" s="20">
        <f t="shared" si="5"/>
        <v>0</v>
      </c>
      <c r="AC14" s="116"/>
      <c r="AD14" s="116"/>
      <c r="AE14" s="20">
        <f>ROUND(E14*F14/1000,1)</f>
        <v>200557.7</v>
      </c>
      <c r="AF14" s="129">
        <v>300.13999999998487</v>
      </c>
      <c r="AG14" s="125">
        <f>SUM(AE14:AF16)</f>
        <v>203079.24</v>
      </c>
      <c r="AH14" s="46"/>
      <c r="AI14" s="4"/>
      <c r="AJ14" s="128" t="s">
        <v>90</v>
      </c>
    </row>
    <row r="15" spans="1:36" ht="61.5" customHeight="1" x14ac:dyDescent="0.25">
      <c r="A15" s="123" t="s">
        <v>43</v>
      </c>
      <c r="B15" s="17" t="s">
        <v>39</v>
      </c>
      <c r="C15" s="17" t="s">
        <v>40</v>
      </c>
      <c r="D15" s="17" t="s">
        <v>38</v>
      </c>
      <c r="E15" s="126">
        <v>60</v>
      </c>
      <c r="F15" s="120">
        <v>31624.85</v>
      </c>
      <c r="G15" s="20">
        <f t="shared" si="2"/>
        <v>0</v>
      </c>
      <c r="H15" s="116"/>
      <c r="I15" s="113"/>
      <c r="J15" s="116"/>
      <c r="K15" s="20">
        <f t="shared" si="3"/>
        <v>0</v>
      </c>
      <c r="L15" s="116"/>
      <c r="M15" s="113"/>
      <c r="N15" s="110"/>
      <c r="O15" s="116"/>
      <c r="P15" s="116"/>
      <c r="Q15" s="116"/>
      <c r="R15" s="116"/>
      <c r="S15" s="116"/>
      <c r="T15" s="116"/>
      <c r="U15" s="116"/>
      <c r="V15" s="116"/>
      <c r="W15" s="116"/>
      <c r="X15" s="20">
        <f t="shared" si="4"/>
        <v>0</v>
      </c>
      <c r="Y15" s="116"/>
      <c r="Z15" s="116"/>
      <c r="AA15" s="116"/>
      <c r="AB15" s="20">
        <f t="shared" si="5"/>
        <v>0</v>
      </c>
      <c r="AC15" s="116"/>
      <c r="AD15" s="116"/>
      <c r="AE15" s="20">
        <f t="shared" si="6"/>
        <v>1897.5</v>
      </c>
      <c r="AF15" s="116"/>
      <c r="AG15" s="15"/>
      <c r="AH15" s="46"/>
      <c r="AI15" s="4"/>
    </row>
    <row r="16" spans="1:36" ht="61.5" customHeight="1" x14ac:dyDescent="0.25">
      <c r="A16" s="123" t="s">
        <v>43</v>
      </c>
      <c r="B16" s="17" t="s">
        <v>41</v>
      </c>
      <c r="C16" s="17" t="s">
        <v>42</v>
      </c>
      <c r="D16" s="17" t="s">
        <v>38</v>
      </c>
      <c r="E16" s="126">
        <v>1</v>
      </c>
      <c r="F16" s="120">
        <v>323871.59999999998</v>
      </c>
      <c r="G16" s="20">
        <f t="shared" si="2"/>
        <v>0</v>
      </c>
      <c r="H16" s="116"/>
      <c r="I16" s="113"/>
      <c r="J16" s="116"/>
      <c r="K16" s="20">
        <f t="shared" si="3"/>
        <v>0</v>
      </c>
      <c r="L16" s="116"/>
      <c r="M16" s="113"/>
      <c r="N16" s="110"/>
      <c r="O16" s="116"/>
      <c r="P16" s="116"/>
      <c r="Q16" s="116"/>
      <c r="R16" s="116"/>
      <c r="S16" s="116"/>
      <c r="T16" s="116"/>
      <c r="U16" s="116"/>
      <c r="V16" s="116"/>
      <c r="W16" s="116"/>
      <c r="X16" s="20">
        <f t="shared" si="4"/>
        <v>0</v>
      </c>
      <c r="Y16" s="116"/>
      <c r="Z16" s="116"/>
      <c r="AA16" s="116"/>
      <c r="AB16" s="20">
        <f t="shared" si="5"/>
        <v>0</v>
      </c>
      <c r="AC16" s="116"/>
      <c r="AD16" s="116"/>
      <c r="AE16" s="20">
        <f t="shared" si="6"/>
        <v>323.89999999999998</v>
      </c>
      <c r="AF16" s="116"/>
      <c r="AG16" s="15"/>
      <c r="AH16" s="46"/>
      <c r="AI16" s="4"/>
    </row>
    <row r="17" spans="1:36" ht="61.5" customHeight="1" x14ac:dyDescent="0.25">
      <c r="A17" s="132" t="s">
        <v>44</v>
      </c>
      <c r="B17" s="17" t="s">
        <v>36</v>
      </c>
      <c r="C17" s="17" t="s">
        <v>37</v>
      </c>
      <c r="D17" s="17" t="s">
        <v>45</v>
      </c>
      <c r="E17" s="119">
        <v>80637</v>
      </c>
      <c r="F17" s="20">
        <f t="shared" si="1"/>
        <v>4149.0316585636683</v>
      </c>
      <c r="G17" s="20">
        <f t="shared" si="2"/>
        <v>1864.4875601770902</v>
      </c>
      <c r="H17" s="116">
        <v>1432.0175601770902</v>
      </c>
      <c r="I17" s="113"/>
      <c r="J17" s="116"/>
      <c r="K17" s="20">
        <f t="shared" si="3"/>
        <v>432.47</v>
      </c>
      <c r="L17" s="116"/>
      <c r="M17" s="113">
        <v>391.24719421605465</v>
      </c>
      <c r="N17" s="110">
        <v>186.01882510510063</v>
      </c>
      <c r="O17" s="116">
        <v>37.203765021020125</v>
      </c>
      <c r="P17" s="116"/>
      <c r="Q17" s="116">
        <v>120.04414846782494</v>
      </c>
      <c r="R17" s="116">
        <v>143.73054553120778</v>
      </c>
      <c r="S17" s="116">
        <v>265.20173795528098</v>
      </c>
      <c r="T17" s="116">
        <v>102.31035380780536</v>
      </c>
      <c r="U17" s="116"/>
      <c r="V17" s="116">
        <v>14.833986235828249</v>
      </c>
      <c r="W17" s="116">
        <v>0</v>
      </c>
      <c r="X17" s="20">
        <f t="shared" si="4"/>
        <v>1225.316439971725</v>
      </c>
      <c r="Y17" s="116">
        <v>941.10643997172508</v>
      </c>
      <c r="Z17" s="116"/>
      <c r="AA17" s="116"/>
      <c r="AB17" s="20">
        <f t="shared" si="5"/>
        <v>284.20999999999998</v>
      </c>
      <c r="AC17" s="116"/>
      <c r="AD17" s="116">
        <v>21.859692200850727</v>
      </c>
      <c r="AE17" s="20">
        <f t="shared" si="6"/>
        <v>334565.5</v>
      </c>
      <c r="AF17" s="116"/>
      <c r="AG17" s="125">
        <f>SUM(AE17:AF19)</f>
        <v>342116.9</v>
      </c>
      <c r="AH17" s="20"/>
      <c r="AI17" s="57"/>
      <c r="AJ17" s="131" t="s">
        <v>91</v>
      </c>
    </row>
    <row r="18" spans="1:36" ht="44.25" customHeight="1" x14ac:dyDescent="0.25">
      <c r="A18" s="132" t="s">
        <v>44</v>
      </c>
      <c r="B18" s="17" t="s">
        <v>39</v>
      </c>
      <c r="C18" s="17" t="s">
        <v>40</v>
      </c>
      <c r="D18" s="17" t="s">
        <v>45</v>
      </c>
      <c r="E18" s="119">
        <v>354</v>
      </c>
      <c r="F18" s="20">
        <f t="shared" si="1"/>
        <v>21331.583700564977</v>
      </c>
      <c r="G18" s="20">
        <f t="shared" si="2"/>
        <v>16135.882542372879</v>
      </c>
      <c r="H18" s="116">
        <v>12393.15254237288</v>
      </c>
      <c r="I18" s="113"/>
      <c r="J18" s="116"/>
      <c r="K18" s="20">
        <f t="shared" si="3"/>
        <v>3742.73</v>
      </c>
      <c r="L18" s="116"/>
      <c r="M18" s="113">
        <v>663.84180790960454</v>
      </c>
      <c r="N18" s="110">
        <v>0</v>
      </c>
      <c r="O18" s="116">
        <v>508.47457627118649</v>
      </c>
      <c r="P18" s="116"/>
      <c r="Q18" s="116">
        <v>296.61016949152543</v>
      </c>
      <c r="R18" s="116">
        <v>327.82485875706215</v>
      </c>
      <c r="S18" s="116">
        <v>1896.902542372881</v>
      </c>
      <c r="T18" s="116">
        <v>0</v>
      </c>
      <c r="U18" s="116"/>
      <c r="V18" s="116">
        <v>58.333531073446323</v>
      </c>
      <c r="W18" s="116">
        <v>0</v>
      </c>
      <c r="X18" s="20">
        <f t="shared" si="4"/>
        <v>1330.7193220338984</v>
      </c>
      <c r="Y18" s="116">
        <v>1022.0593220338983</v>
      </c>
      <c r="Z18" s="116"/>
      <c r="AA18" s="116"/>
      <c r="AB18" s="20">
        <f t="shared" si="5"/>
        <v>308.66000000000003</v>
      </c>
      <c r="AC18" s="116"/>
      <c r="AD18" s="116">
        <v>621.4689265536723</v>
      </c>
      <c r="AE18" s="20">
        <f t="shared" si="6"/>
        <v>7551.4</v>
      </c>
      <c r="AF18" s="116"/>
      <c r="AG18" s="15"/>
      <c r="AH18" s="46"/>
      <c r="AI18" s="4"/>
    </row>
    <row r="19" spans="1:36" ht="44.25" customHeight="1" x14ac:dyDescent="0.25">
      <c r="A19" s="132" t="s">
        <v>44</v>
      </c>
      <c r="B19" s="17" t="s">
        <v>41</v>
      </c>
      <c r="C19" s="17" t="s">
        <v>42</v>
      </c>
      <c r="D19" s="17" t="s">
        <v>38</v>
      </c>
      <c r="E19" s="119">
        <v>0</v>
      </c>
      <c r="F19" s="20">
        <f t="shared" si="1"/>
        <v>0</v>
      </c>
      <c r="G19" s="20">
        <f t="shared" si="2"/>
        <v>0</v>
      </c>
      <c r="H19" s="116">
        <v>0</v>
      </c>
      <c r="I19" s="113"/>
      <c r="J19" s="116"/>
      <c r="K19" s="20">
        <f t="shared" si="3"/>
        <v>0</v>
      </c>
      <c r="L19" s="20">
        <f t="shared" ref="L19" si="7">ROUND(I19*0.302,2)</f>
        <v>0</v>
      </c>
      <c r="M19" s="20">
        <f t="shared" ref="M19" si="8">ROUND(J19*0.302,2)</f>
        <v>0</v>
      </c>
      <c r="N19" s="20">
        <f t="shared" ref="N19" si="9">ROUND(K19*0.302,2)</f>
        <v>0</v>
      </c>
      <c r="O19" s="20">
        <f t="shared" ref="O19" si="10">ROUND(L19*0.302,2)</f>
        <v>0</v>
      </c>
      <c r="P19" s="20">
        <f t="shared" ref="P19" si="11">ROUND(M19*0.302,2)</f>
        <v>0</v>
      </c>
      <c r="Q19" s="20">
        <f t="shared" ref="Q19" si="12">ROUND(N19*0.302,2)</f>
        <v>0</v>
      </c>
      <c r="R19" s="20">
        <f t="shared" ref="R19" si="13">ROUND(O19*0.302,2)</f>
        <v>0</v>
      </c>
      <c r="S19" s="20">
        <f t="shared" ref="S19" si="14">ROUND(P19*0.302,2)</f>
        <v>0</v>
      </c>
      <c r="T19" s="20">
        <f t="shared" ref="T19" si="15">ROUND(Q19*0.302,2)</f>
        <v>0</v>
      </c>
      <c r="U19" s="20">
        <f t="shared" ref="U19" si="16">ROUND(R19*0.302,2)</f>
        <v>0</v>
      </c>
      <c r="V19" s="20">
        <f t="shared" ref="V19" si="17">ROUND(S19*0.302,2)</f>
        <v>0</v>
      </c>
      <c r="W19" s="20">
        <f t="shared" ref="W19" si="18">ROUND(T19*0.302,2)</f>
        <v>0</v>
      </c>
      <c r="X19" s="20">
        <f t="shared" ref="X19" si="19">ROUND(U19*0.302,2)</f>
        <v>0</v>
      </c>
      <c r="Y19" s="20">
        <f t="shared" ref="Y19" si="20">ROUND(V19*0.302,2)</f>
        <v>0</v>
      </c>
      <c r="Z19" s="20">
        <f t="shared" ref="Z19" si="21">ROUND(W19*0.302,2)</f>
        <v>0</v>
      </c>
      <c r="AA19" s="20">
        <f t="shared" ref="AA19" si="22">ROUND(X19*0.302,2)</f>
        <v>0</v>
      </c>
      <c r="AB19" s="20">
        <f t="shared" si="5"/>
        <v>0</v>
      </c>
      <c r="AC19" s="20">
        <f t="shared" ref="AC19" si="23">ROUND(Z19*0.302,2)</f>
        <v>0</v>
      </c>
      <c r="AD19" s="20">
        <f t="shared" ref="AD19" si="24">ROUND(AA19*0.302,2)</f>
        <v>0</v>
      </c>
      <c r="AE19" s="20">
        <f t="shared" ref="AE19" si="25">ROUND(AB19*0.302,2)</f>
        <v>0</v>
      </c>
      <c r="AF19" s="20">
        <f t="shared" ref="AF19" si="26">ROUND(AC19*0.302,2)</f>
        <v>0</v>
      </c>
      <c r="AG19" s="20">
        <f t="shared" ref="AG19" si="27">ROUND(AD19*0.302,2)</f>
        <v>0</v>
      </c>
      <c r="AH19" s="46"/>
      <c r="AI19" s="4"/>
    </row>
    <row r="20" spans="1:36" ht="61.5" customHeight="1" x14ac:dyDescent="0.25">
      <c r="A20" s="115" t="s">
        <v>46</v>
      </c>
      <c r="B20" s="116" t="s">
        <v>36</v>
      </c>
      <c r="C20" s="17" t="s">
        <v>37</v>
      </c>
      <c r="D20" s="116" t="s">
        <v>45</v>
      </c>
      <c r="E20" s="119">
        <v>27048</v>
      </c>
      <c r="F20" s="20">
        <f t="shared" si="1"/>
        <v>8390.6672425304041</v>
      </c>
      <c r="G20" s="20">
        <f t="shared" si="2"/>
        <v>4682.6162758427481</v>
      </c>
      <c r="H20" s="116">
        <v>3544.4237908701602</v>
      </c>
      <c r="I20" s="113"/>
      <c r="J20" s="116"/>
      <c r="K20" s="20">
        <f t="shared" si="3"/>
        <v>1070.42</v>
      </c>
      <c r="L20" s="116">
        <v>67.772484972587989</v>
      </c>
      <c r="M20" s="113">
        <v>731.72341895683473</v>
      </c>
      <c r="N20" s="110">
        <v>29.20991015971606</v>
      </c>
      <c r="O20" s="116">
        <v>39.903856107660459</v>
      </c>
      <c r="P20" s="116"/>
      <c r="Q20" s="116">
        <v>0</v>
      </c>
      <c r="R20" s="116">
        <v>280.26566178645368</v>
      </c>
      <c r="S20" s="116">
        <v>459.21661875979817</v>
      </c>
      <c r="T20" s="116">
        <v>587.66572619136775</v>
      </c>
      <c r="U20" s="116"/>
      <c r="V20" s="116">
        <v>9.6036235803016865</v>
      </c>
      <c r="W20" s="116">
        <v>0</v>
      </c>
      <c r="X20" s="20">
        <f t="shared" si="4"/>
        <v>1571.1496012342548</v>
      </c>
      <c r="Y20" s="116">
        <v>1206.7196012342547</v>
      </c>
      <c r="Z20" s="116"/>
      <c r="AA20" s="116"/>
      <c r="AB20" s="20">
        <f t="shared" si="5"/>
        <v>364.43</v>
      </c>
      <c r="AC20" s="116"/>
      <c r="AD20" s="116">
        <v>68.426316178645365</v>
      </c>
      <c r="AE20" s="20">
        <f t="shared" si="6"/>
        <v>226950.8</v>
      </c>
      <c r="AF20" s="116">
        <v>111.5</v>
      </c>
      <c r="AG20" s="125">
        <f>SUM(AE20:AF22)</f>
        <v>229274</v>
      </c>
      <c r="AH20" s="46"/>
      <c r="AI20" s="4"/>
    </row>
    <row r="21" spans="1:36" ht="44.25" customHeight="1" x14ac:dyDescent="0.25">
      <c r="A21" s="115" t="s">
        <v>46</v>
      </c>
      <c r="B21" s="116" t="s">
        <v>39</v>
      </c>
      <c r="C21" s="17" t="s">
        <v>40</v>
      </c>
      <c r="D21" s="116" t="s">
        <v>45</v>
      </c>
      <c r="E21" s="119">
        <v>95</v>
      </c>
      <c r="F21" s="20">
        <f t="shared" si="1"/>
        <v>23281.071103436061</v>
      </c>
      <c r="G21" s="20">
        <f t="shared" si="2"/>
        <v>12000.494383378025</v>
      </c>
      <c r="H21" s="116">
        <v>8668.5217517990786</v>
      </c>
      <c r="I21" s="113"/>
      <c r="J21" s="116"/>
      <c r="K21" s="20">
        <f t="shared" si="3"/>
        <v>2617.89</v>
      </c>
      <c r="L21" s="116">
        <v>714.08263157894737</v>
      </c>
      <c r="M21" s="113">
        <v>431.15746027644212</v>
      </c>
      <c r="N21" s="110">
        <v>157.89473684210526</v>
      </c>
      <c r="O21" s="116">
        <v>0</v>
      </c>
      <c r="P21" s="116"/>
      <c r="Q21" s="116">
        <v>0</v>
      </c>
      <c r="R21" s="116">
        <v>2116.452884210526</v>
      </c>
      <c r="S21" s="116">
        <v>0</v>
      </c>
      <c r="T21" s="116">
        <v>0</v>
      </c>
      <c r="U21" s="116"/>
      <c r="V21" s="116">
        <v>38.381052631578946</v>
      </c>
      <c r="W21" s="116">
        <v>0</v>
      </c>
      <c r="X21" s="20">
        <f t="shared" si="4"/>
        <v>8694.5853229394888</v>
      </c>
      <c r="Y21" s="116">
        <v>6677.8653229394886</v>
      </c>
      <c r="Z21" s="116"/>
      <c r="AA21" s="116"/>
      <c r="AB21" s="20">
        <f t="shared" si="5"/>
        <v>2016.72</v>
      </c>
      <c r="AC21" s="116"/>
      <c r="AD21" s="116">
        <v>0</v>
      </c>
      <c r="AE21" s="20">
        <f t="shared" si="6"/>
        <v>2211.6999999999998</v>
      </c>
      <c r="AF21" s="116">
        <v>0</v>
      </c>
      <c r="AG21" s="15"/>
      <c r="AH21" s="46"/>
      <c r="AI21" s="4"/>
    </row>
    <row r="22" spans="1:36" ht="44.25" customHeight="1" x14ac:dyDescent="0.25">
      <c r="A22" s="115" t="s">
        <v>46</v>
      </c>
      <c r="B22" s="17" t="s">
        <v>41</v>
      </c>
      <c r="C22" s="17" t="s">
        <v>42</v>
      </c>
      <c r="D22" s="116" t="s">
        <v>38</v>
      </c>
      <c r="E22" s="119">
        <v>0</v>
      </c>
      <c r="F22" s="20">
        <f t="shared" si="1"/>
        <v>0</v>
      </c>
      <c r="G22" s="20">
        <f t="shared" si="2"/>
        <v>0</v>
      </c>
      <c r="H22" s="116">
        <v>0</v>
      </c>
      <c r="I22" s="113"/>
      <c r="J22" s="116"/>
      <c r="K22" s="20">
        <f t="shared" si="3"/>
        <v>0</v>
      </c>
      <c r="L22" s="116">
        <v>0</v>
      </c>
      <c r="M22" s="113">
        <v>0</v>
      </c>
      <c r="N22" s="110">
        <v>0</v>
      </c>
      <c r="O22" s="116">
        <v>0</v>
      </c>
      <c r="P22" s="116"/>
      <c r="Q22" s="116">
        <v>0</v>
      </c>
      <c r="R22" s="116">
        <v>0</v>
      </c>
      <c r="S22" s="116">
        <v>0</v>
      </c>
      <c r="T22" s="116">
        <v>0</v>
      </c>
      <c r="U22" s="116"/>
      <c r="V22" s="116">
        <v>0</v>
      </c>
      <c r="W22" s="116">
        <v>0</v>
      </c>
      <c r="X22" s="20">
        <f t="shared" si="4"/>
        <v>0</v>
      </c>
      <c r="Y22" s="116">
        <v>0</v>
      </c>
      <c r="Z22" s="116"/>
      <c r="AA22" s="116"/>
      <c r="AB22" s="20">
        <f t="shared" si="5"/>
        <v>0</v>
      </c>
      <c r="AC22" s="116"/>
      <c r="AD22" s="116">
        <v>0</v>
      </c>
      <c r="AE22" s="20">
        <f t="shared" si="6"/>
        <v>0</v>
      </c>
      <c r="AF22" s="116">
        <v>0</v>
      </c>
      <c r="AG22" s="15"/>
      <c r="AH22" s="46"/>
      <c r="AI22" s="4"/>
    </row>
    <row r="23" spans="1:36" ht="78.75" x14ac:dyDescent="0.25">
      <c r="A23" s="115" t="s">
        <v>47</v>
      </c>
      <c r="B23" s="17" t="s">
        <v>36</v>
      </c>
      <c r="C23" s="17" t="s">
        <v>37</v>
      </c>
      <c r="D23" s="28" t="s">
        <v>38</v>
      </c>
      <c r="E23" s="119">
        <v>43300</v>
      </c>
      <c r="F23" s="20">
        <f t="shared" ref="F23:F43" si="28">SUM(G23,M23,Q23,R23,S23,T23,V23,W23,X23,AD23,P23,U23)</f>
        <v>5759.1776384289233</v>
      </c>
      <c r="G23" s="20">
        <f t="shared" ref="G23:G43" si="29">SUM(H23:L23)</f>
        <v>3357.6360508083135</v>
      </c>
      <c r="H23" s="120">
        <v>2578.8260508083135</v>
      </c>
      <c r="I23" s="25"/>
      <c r="J23" s="25"/>
      <c r="K23" s="20">
        <f t="shared" ref="K23:K43" si="30">ROUND(H23*0.302,2)</f>
        <v>778.81</v>
      </c>
      <c r="L23" s="25">
        <v>0</v>
      </c>
      <c r="M23" s="21">
        <v>929.15734411085441</v>
      </c>
      <c r="N23" s="25">
        <v>914.38482678983826</v>
      </c>
      <c r="O23" s="25">
        <v>14.772517321016165</v>
      </c>
      <c r="P23" s="26">
        <v>0</v>
      </c>
      <c r="Q23" s="25">
        <v>111.54734411085451</v>
      </c>
      <c r="R23" s="25">
        <v>72.801377726750857</v>
      </c>
      <c r="S23" s="25">
        <v>253.9150401836969</v>
      </c>
      <c r="T23" s="25">
        <v>9.2378752886836022</v>
      </c>
      <c r="U23" s="20">
        <v>0</v>
      </c>
      <c r="V23" s="25">
        <v>9.9104477611940318</v>
      </c>
      <c r="W23" s="25">
        <v>39.402985074626862</v>
      </c>
      <c r="X23" s="20">
        <f t="shared" ref="X23:X43" si="31">SUM(Y23:AC23)</f>
        <v>953.86997703788757</v>
      </c>
      <c r="Y23" s="27">
        <v>732.61997703788757</v>
      </c>
      <c r="Z23" s="27"/>
      <c r="AA23" s="27"/>
      <c r="AB23" s="20">
        <f t="shared" ref="AB23:AB43" si="32">ROUND(Y23*0.302,2)</f>
        <v>221.25</v>
      </c>
      <c r="AC23" s="25">
        <v>0</v>
      </c>
      <c r="AD23" s="25">
        <v>21.699196326061998</v>
      </c>
      <c r="AE23" s="20">
        <f t="shared" ref="AE23:AE43" si="33">ROUND(E23*F23/1000,1)</f>
        <v>249372.4</v>
      </c>
      <c r="AF23" s="27">
        <v>244.6</v>
      </c>
      <c r="AG23" s="237">
        <f>ROUND(AE23+AE24+AE25+AF23,1)</f>
        <v>256268</v>
      </c>
      <c r="AH23" s="47">
        <f t="shared" ref="AH23:AH25" si="34">(G23+X23)*E23/1000</f>
        <v>186688.21100574051</v>
      </c>
      <c r="AI23" s="55">
        <v>80329.582241999989</v>
      </c>
    </row>
    <row r="24" spans="1:36" ht="63" customHeight="1" x14ac:dyDescent="0.25">
      <c r="A24" s="115" t="s">
        <v>47</v>
      </c>
      <c r="B24" s="17" t="s">
        <v>39</v>
      </c>
      <c r="C24" s="17" t="s">
        <v>40</v>
      </c>
      <c r="D24" s="28" t="s">
        <v>38</v>
      </c>
      <c r="E24" s="119">
        <v>220</v>
      </c>
      <c r="F24" s="20">
        <f t="shared" si="28"/>
        <v>15905.705478655673</v>
      </c>
      <c r="G24" s="20">
        <f t="shared" si="29"/>
        <v>11774.816363636364</v>
      </c>
      <c r="H24" s="120">
        <v>9043.636363636364</v>
      </c>
      <c r="I24" s="25"/>
      <c r="J24" s="25"/>
      <c r="K24" s="20">
        <f t="shared" si="30"/>
        <v>2731.18</v>
      </c>
      <c r="L24" s="25">
        <v>0</v>
      </c>
      <c r="M24" s="25">
        <v>863.38</v>
      </c>
      <c r="N24" s="25"/>
      <c r="O24" s="25"/>
      <c r="P24" s="26">
        <v>0</v>
      </c>
      <c r="Q24" s="25">
        <v>1915.9090909090908</v>
      </c>
      <c r="R24" s="25">
        <v>72.801377726750857</v>
      </c>
      <c r="S24" s="25">
        <v>253.91604018369694</v>
      </c>
      <c r="T24" s="25"/>
      <c r="U24" s="20">
        <v>0</v>
      </c>
      <c r="V24" s="25">
        <v>9.9104477611940318</v>
      </c>
      <c r="W24" s="25">
        <v>39.402985074626862</v>
      </c>
      <c r="X24" s="20">
        <f t="shared" si="31"/>
        <v>953.86997703788757</v>
      </c>
      <c r="Y24" s="27">
        <v>732.61997703788757</v>
      </c>
      <c r="Z24" s="27"/>
      <c r="AA24" s="27"/>
      <c r="AB24" s="20">
        <f t="shared" si="32"/>
        <v>221.25</v>
      </c>
      <c r="AC24" s="25">
        <v>0</v>
      </c>
      <c r="AD24" s="25">
        <v>21.699196326061998</v>
      </c>
      <c r="AE24" s="20">
        <f t="shared" si="33"/>
        <v>3499.3</v>
      </c>
      <c r="AF24" s="27">
        <v>0</v>
      </c>
      <c r="AG24" s="237"/>
      <c r="AH24" s="47">
        <f t="shared" si="34"/>
        <v>2800.3109949483355</v>
      </c>
      <c r="AI24" s="55">
        <v>2678.9424660000004</v>
      </c>
    </row>
    <row r="25" spans="1:36" ht="31.5" x14ac:dyDescent="0.25">
      <c r="A25" s="115" t="s">
        <v>47</v>
      </c>
      <c r="B25" s="17" t="s">
        <v>41</v>
      </c>
      <c r="C25" s="117" t="s">
        <v>42</v>
      </c>
      <c r="D25" s="28" t="s">
        <v>38</v>
      </c>
      <c r="E25" s="119">
        <v>30</v>
      </c>
      <c r="F25" s="20">
        <f t="shared" si="28"/>
        <v>105055.36802411024</v>
      </c>
      <c r="G25" s="20">
        <f t="shared" si="29"/>
        <v>82687.42</v>
      </c>
      <c r="H25" s="120">
        <v>63508</v>
      </c>
      <c r="I25" s="20"/>
      <c r="J25" s="20"/>
      <c r="K25" s="20">
        <f t="shared" si="30"/>
        <v>19179.419999999998</v>
      </c>
      <c r="L25" s="20">
        <v>0</v>
      </c>
      <c r="M25" s="20">
        <v>366.35</v>
      </c>
      <c r="N25" s="20"/>
      <c r="O25" s="20"/>
      <c r="P25" s="20">
        <v>0</v>
      </c>
      <c r="Q25" s="20">
        <v>20649.998</v>
      </c>
      <c r="R25" s="20">
        <v>72.801377726750857</v>
      </c>
      <c r="S25" s="20">
        <v>253.91604018369691</v>
      </c>
      <c r="T25" s="20"/>
      <c r="U25" s="20">
        <v>0</v>
      </c>
      <c r="V25" s="20">
        <v>9.9104477611940283</v>
      </c>
      <c r="W25" s="27">
        <v>39.402985074626869</v>
      </c>
      <c r="X25" s="20">
        <f t="shared" si="31"/>
        <v>953.86997703788757</v>
      </c>
      <c r="Y25" s="27">
        <v>732.61997703788757</v>
      </c>
      <c r="Z25" s="20"/>
      <c r="AA25" s="20"/>
      <c r="AB25" s="20">
        <f t="shared" si="32"/>
        <v>221.25</v>
      </c>
      <c r="AC25" s="25">
        <v>0</v>
      </c>
      <c r="AD25" s="25">
        <v>21.699196326062001</v>
      </c>
      <c r="AE25" s="20">
        <f t="shared" si="33"/>
        <v>3151.7</v>
      </c>
      <c r="AF25" s="20">
        <v>0</v>
      </c>
      <c r="AG25" s="237"/>
      <c r="AH25" s="47">
        <f t="shared" si="34"/>
        <v>2509.2386993111368</v>
      </c>
      <c r="AI25" s="55">
        <v>2332.5985570000003</v>
      </c>
    </row>
    <row r="26" spans="1:36" ht="63" x14ac:dyDescent="0.25">
      <c r="A26" s="115" t="s">
        <v>48</v>
      </c>
      <c r="B26" s="17" t="s">
        <v>49</v>
      </c>
      <c r="C26" s="17" t="s">
        <v>37</v>
      </c>
      <c r="D26" s="18" t="s">
        <v>38</v>
      </c>
      <c r="E26" s="121">
        <v>60780</v>
      </c>
      <c r="F26" s="20">
        <f t="shared" si="28"/>
        <v>4234.9699999999993</v>
      </c>
      <c r="G26" s="20">
        <f t="shared" si="29"/>
        <v>2025.73</v>
      </c>
      <c r="H26" s="5">
        <v>1555.86</v>
      </c>
      <c r="I26" s="3"/>
      <c r="J26" s="3"/>
      <c r="K26" s="20">
        <f t="shared" si="30"/>
        <v>469.87</v>
      </c>
      <c r="L26" s="3"/>
      <c r="M26" s="3">
        <v>630.89</v>
      </c>
      <c r="N26" s="3">
        <v>0</v>
      </c>
      <c r="O26" s="3">
        <v>25.67</v>
      </c>
      <c r="P26" s="3">
        <v>0</v>
      </c>
      <c r="Q26" s="3">
        <v>157.1</v>
      </c>
      <c r="R26" s="3">
        <v>32.42</v>
      </c>
      <c r="S26" s="3">
        <v>157.56</v>
      </c>
      <c r="T26" s="3">
        <v>20.2</v>
      </c>
      <c r="U26" s="3">
        <v>0</v>
      </c>
      <c r="V26" s="3">
        <v>6.5</v>
      </c>
      <c r="W26" s="85">
        <v>0</v>
      </c>
      <c r="X26" s="20">
        <f t="shared" si="31"/>
        <v>1108.1500000000001</v>
      </c>
      <c r="Y26" s="85">
        <v>851.11</v>
      </c>
      <c r="Z26" s="3"/>
      <c r="AA26" s="3"/>
      <c r="AB26" s="20">
        <f t="shared" si="32"/>
        <v>257.04000000000002</v>
      </c>
      <c r="AC26" s="84"/>
      <c r="AD26" s="84">
        <v>96.42</v>
      </c>
      <c r="AE26" s="20">
        <f t="shared" si="33"/>
        <v>257401.5</v>
      </c>
      <c r="AF26" s="3">
        <v>640.5</v>
      </c>
      <c r="AG26" s="3">
        <f>SUM(AE26:AF28)</f>
        <v>259494.7</v>
      </c>
      <c r="AH26" s="55"/>
      <c r="AI26" s="55"/>
    </row>
    <row r="27" spans="1:36" ht="31.5" x14ac:dyDescent="0.25">
      <c r="A27" s="115" t="s">
        <v>48</v>
      </c>
      <c r="B27" s="17" t="s">
        <v>50</v>
      </c>
      <c r="C27" s="17" t="s">
        <v>40</v>
      </c>
      <c r="D27" s="18" t="s">
        <v>38</v>
      </c>
      <c r="E27" s="121">
        <v>121</v>
      </c>
      <c r="F27" s="20">
        <f t="shared" si="28"/>
        <v>7623.7000000000007</v>
      </c>
      <c r="G27" s="20">
        <f t="shared" si="29"/>
        <v>5614.08</v>
      </c>
      <c r="H27" s="5">
        <v>4311.8900000000003</v>
      </c>
      <c r="I27" s="3"/>
      <c r="J27" s="3"/>
      <c r="K27" s="20">
        <f t="shared" si="30"/>
        <v>1302.19</v>
      </c>
      <c r="L27" s="3"/>
      <c r="M27" s="3">
        <v>1241.02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66.12</v>
      </c>
      <c r="U27" s="3">
        <v>0</v>
      </c>
      <c r="V27" s="3">
        <v>0</v>
      </c>
      <c r="W27" s="85">
        <v>0</v>
      </c>
      <c r="X27" s="20">
        <f t="shared" si="31"/>
        <v>0</v>
      </c>
      <c r="Y27" s="85">
        <v>0</v>
      </c>
      <c r="Z27" s="3"/>
      <c r="AA27" s="3"/>
      <c r="AB27" s="20">
        <f t="shared" si="32"/>
        <v>0</v>
      </c>
      <c r="AC27" s="84"/>
      <c r="AD27" s="84">
        <v>702.48</v>
      </c>
      <c r="AE27" s="20">
        <f t="shared" si="33"/>
        <v>922.5</v>
      </c>
      <c r="AF27" s="3"/>
      <c r="AG27" s="3"/>
      <c r="AH27" s="55"/>
      <c r="AI27" s="55"/>
    </row>
    <row r="28" spans="1:36" ht="31.5" x14ac:dyDescent="0.25">
      <c r="A28" s="115" t="s">
        <v>48</v>
      </c>
      <c r="B28" s="17" t="s">
        <v>41</v>
      </c>
      <c r="C28" s="117" t="s">
        <v>42</v>
      </c>
      <c r="D28" s="28" t="s">
        <v>38</v>
      </c>
      <c r="E28" s="121">
        <v>6</v>
      </c>
      <c r="F28" s="20">
        <f t="shared" si="28"/>
        <v>88361.859999999986</v>
      </c>
      <c r="G28" s="20">
        <f t="shared" si="29"/>
        <v>65387.77</v>
      </c>
      <c r="H28" s="5">
        <v>50221.02</v>
      </c>
      <c r="I28" s="3"/>
      <c r="J28" s="3"/>
      <c r="K28" s="20">
        <f t="shared" si="30"/>
        <v>15166.75</v>
      </c>
      <c r="L28" s="3"/>
      <c r="M28" s="3">
        <v>8666.67</v>
      </c>
      <c r="N28" s="3">
        <v>0</v>
      </c>
      <c r="O28" s="3">
        <v>8666.67</v>
      </c>
      <c r="P28" s="3">
        <v>0</v>
      </c>
      <c r="Q28" s="3">
        <v>666.67</v>
      </c>
      <c r="R28" s="3">
        <v>0</v>
      </c>
      <c r="S28" s="3">
        <v>0</v>
      </c>
      <c r="T28" s="3">
        <v>1666.68</v>
      </c>
      <c r="U28" s="3">
        <v>0</v>
      </c>
      <c r="V28" s="3">
        <v>0</v>
      </c>
      <c r="W28" s="85">
        <v>0</v>
      </c>
      <c r="X28" s="20">
        <f t="shared" si="31"/>
        <v>0</v>
      </c>
      <c r="Y28" s="85">
        <v>0</v>
      </c>
      <c r="Z28" s="3"/>
      <c r="AA28" s="3"/>
      <c r="AB28" s="20">
        <f t="shared" si="32"/>
        <v>0</v>
      </c>
      <c r="AC28" s="84"/>
      <c r="AD28" s="84">
        <v>11974.07</v>
      </c>
      <c r="AE28" s="20">
        <f t="shared" si="33"/>
        <v>530.20000000000005</v>
      </c>
      <c r="AF28" s="3"/>
      <c r="AG28" s="3"/>
      <c r="AH28" s="55"/>
      <c r="AI28" s="55"/>
    </row>
    <row r="29" spans="1:36" ht="63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21">
        <v>87750</v>
      </c>
      <c r="F29" s="20">
        <f t="shared" si="28"/>
        <v>3288.8742499999998</v>
      </c>
      <c r="G29" s="20">
        <f t="shared" si="29"/>
        <v>2017.19</v>
      </c>
      <c r="H29" s="5">
        <v>1549.3</v>
      </c>
      <c r="I29" s="3"/>
      <c r="J29" s="3"/>
      <c r="K29" s="20">
        <f t="shared" si="30"/>
        <v>467.89</v>
      </c>
      <c r="L29" s="3"/>
      <c r="M29" s="3">
        <v>206.0462</v>
      </c>
      <c r="N29" s="3">
        <v>16.97</v>
      </c>
      <c r="O29" s="3">
        <v>34.903199999999998</v>
      </c>
      <c r="P29" s="3"/>
      <c r="Q29" s="3">
        <v>78.920999999999992</v>
      </c>
      <c r="R29" s="3">
        <v>235.10999999999999</v>
      </c>
      <c r="S29" s="3">
        <v>216.20000000000002</v>
      </c>
      <c r="T29" s="3">
        <v>44.12</v>
      </c>
      <c r="U29" s="3"/>
      <c r="V29" s="3">
        <v>30.45</v>
      </c>
      <c r="W29" s="85">
        <v>0</v>
      </c>
      <c r="X29" s="20">
        <f t="shared" si="31"/>
        <v>408.77704999999997</v>
      </c>
      <c r="Y29" s="85">
        <v>313.95704999999998</v>
      </c>
      <c r="Z29" s="3"/>
      <c r="AA29" s="3"/>
      <c r="AB29" s="20">
        <f t="shared" si="32"/>
        <v>94.82</v>
      </c>
      <c r="AC29" s="84"/>
      <c r="AD29" s="84">
        <v>52.059999999999995</v>
      </c>
      <c r="AE29" s="20">
        <f>ROUND(E29*F29/1000,1)</f>
        <v>288598.7</v>
      </c>
      <c r="AF29" s="3">
        <v>103.89230000000001</v>
      </c>
      <c r="AG29" s="3"/>
      <c r="AH29" s="55"/>
      <c r="AI29" s="55"/>
    </row>
    <row r="30" spans="1:36" ht="56.25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21">
        <v>80</v>
      </c>
      <c r="F30" s="20">
        <f t="shared" si="28"/>
        <v>13917.103249999998</v>
      </c>
      <c r="G30" s="20">
        <f t="shared" si="29"/>
        <v>9469.98</v>
      </c>
      <c r="H30" s="5">
        <v>7273.41</v>
      </c>
      <c r="I30" s="3"/>
      <c r="J30" s="3"/>
      <c r="K30" s="20">
        <f t="shared" si="30"/>
        <v>2196.5700000000002</v>
      </c>
      <c r="L30" s="3"/>
      <c r="M30" s="3">
        <v>798.6</v>
      </c>
      <c r="N30" s="3">
        <v>0</v>
      </c>
      <c r="O30" s="3">
        <v>463.05</v>
      </c>
      <c r="P30" s="3"/>
      <c r="Q30" s="3">
        <v>37.5</v>
      </c>
      <c r="R30" s="3">
        <v>455.75</v>
      </c>
      <c r="S30" s="3">
        <v>492.79999999999995</v>
      </c>
      <c r="T30" s="3">
        <v>687.78</v>
      </c>
      <c r="U30" s="3"/>
      <c r="V30" s="3">
        <v>669.4</v>
      </c>
      <c r="W30" s="85">
        <v>0</v>
      </c>
      <c r="X30" s="20">
        <f t="shared" si="31"/>
        <v>877.73</v>
      </c>
      <c r="Y30" s="85">
        <v>674.14</v>
      </c>
      <c r="Z30" s="3"/>
      <c r="AA30" s="3"/>
      <c r="AB30" s="20">
        <f t="shared" si="32"/>
        <v>203.59</v>
      </c>
      <c r="AC30" s="84"/>
      <c r="AD30" s="84">
        <v>427.56325000000004</v>
      </c>
      <c r="AE30" s="20">
        <f>ROUND(E30*F30/1000,1)</f>
        <v>1113.4000000000001</v>
      </c>
      <c r="AF30" s="3"/>
      <c r="AG30" s="3"/>
      <c r="AH30" s="55"/>
      <c r="AI30" s="55"/>
    </row>
    <row r="31" spans="1:36" ht="56.25" x14ac:dyDescent="0.25">
      <c r="A31" s="23" t="s">
        <v>51</v>
      </c>
      <c r="B31" s="17" t="s">
        <v>41</v>
      </c>
      <c r="C31" s="117" t="s">
        <v>42</v>
      </c>
      <c r="D31" s="28" t="s">
        <v>38</v>
      </c>
      <c r="E31" s="121">
        <v>0</v>
      </c>
      <c r="F31" s="20">
        <f t="shared" si="28"/>
        <v>0</v>
      </c>
      <c r="G31" s="20">
        <f t="shared" si="29"/>
        <v>0</v>
      </c>
      <c r="H31" s="5"/>
      <c r="I31" s="3"/>
      <c r="J31" s="3"/>
      <c r="K31" s="20">
        <f t="shared" si="30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85"/>
      <c r="X31" s="20">
        <f t="shared" si="31"/>
        <v>0</v>
      </c>
      <c r="Y31" s="85"/>
      <c r="Z31" s="3"/>
      <c r="AA31" s="3"/>
      <c r="AB31" s="20">
        <f t="shared" si="32"/>
        <v>0</v>
      </c>
      <c r="AC31" s="84"/>
      <c r="AD31" s="84"/>
      <c r="AE31" s="20">
        <f>ROUND(E30*F31/1000,1)</f>
        <v>0</v>
      </c>
      <c r="AF31" s="3"/>
      <c r="AG31" s="3"/>
      <c r="AH31" s="55"/>
      <c r="AI31" s="55"/>
    </row>
    <row r="32" spans="1:36" ht="63" x14ac:dyDescent="0.25">
      <c r="A32" s="115" t="s">
        <v>52</v>
      </c>
      <c r="B32" s="17" t="s">
        <v>36</v>
      </c>
      <c r="C32" s="17" t="s">
        <v>37</v>
      </c>
      <c r="D32" s="17" t="s">
        <v>53</v>
      </c>
      <c r="E32" s="121">
        <v>820</v>
      </c>
      <c r="F32" s="20">
        <f t="shared" si="28"/>
        <v>7034.7</v>
      </c>
      <c r="G32" s="20">
        <f t="shared" si="29"/>
        <v>2342.31</v>
      </c>
      <c r="H32" s="5">
        <v>1799.01</v>
      </c>
      <c r="I32" s="3"/>
      <c r="J32" s="3"/>
      <c r="K32" s="20">
        <f t="shared" si="30"/>
        <v>543.29999999999995</v>
      </c>
      <c r="L32" s="3"/>
      <c r="M32" s="3">
        <v>465.89</v>
      </c>
      <c r="N32" s="3">
        <v>0</v>
      </c>
      <c r="O32" s="3">
        <v>0</v>
      </c>
      <c r="P32" s="3">
        <v>0</v>
      </c>
      <c r="Q32" s="3">
        <v>883.73</v>
      </c>
      <c r="R32" s="3">
        <v>74.47</v>
      </c>
      <c r="S32" s="3">
        <v>1239.44</v>
      </c>
      <c r="T32" s="3">
        <v>0</v>
      </c>
      <c r="U32" s="3">
        <v>0</v>
      </c>
      <c r="V32" s="3">
        <v>11.25</v>
      </c>
      <c r="W32" s="85">
        <v>12.33</v>
      </c>
      <c r="X32" s="20">
        <f t="shared" si="31"/>
        <v>1892.3400000000001</v>
      </c>
      <c r="Y32" s="85">
        <v>1453.41</v>
      </c>
      <c r="Z32" s="3"/>
      <c r="AA32" s="3"/>
      <c r="AB32" s="20">
        <f t="shared" si="32"/>
        <v>438.93</v>
      </c>
      <c r="AC32" s="84"/>
      <c r="AD32" s="84">
        <v>112.94</v>
      </c>
      <c r="AE32" s="20">
        <f t="shared" si="33"/>
        <v>5768.5</v>
      </c>
      <c r="AF32" s="3">
        <v>0</v>
      </c>
      <c r="AG32" s="3">
        <f>SUM(AE32:AF33)</f>
        <v>11148.9</v>
      </c>
      <c r="AH32" s="55"/>
      <c r="AI32" s="55"/>
    </row>
    <row r="33" spans="1:35" ht="47.25" x14ac:dyDescent="0.25">
      <c r="A33" s="115" t="s">
        <v>52</v>
      </c>
      <c r="B33" s="17" t="s">
        <v>39</v>
      </c>
      <c r="C33" s="17" t="s">
        <v>40</v>
      </c>
      <c r="D33" s="17" t="s">
        <v>53</v>
      </c>
      <c r="E33" s="121">
        <v>36</v>
      </c>
      <c r="F33" s="20">
        <f t="shared" si="28"/>
        <v>149456.73000000001</v>
      </c>
      <c r="G33" s="20">
        <f t="shared" si="29"/>
        <v>53726.6</v>
      </c>
      <c r="H33" s="5">
        <v>41264.67</v>
      </c>
      <c r="I33" s="3"/>
      <c r="J33" s="3"/>
      <c r="K33" s="20">
        <f t="shared" si="30"/>
        <v>12461.93</v>
      </c>
      <c r="L33" s="3"/>
      <c r="M33" s="3">
        <v>95.97</v>
      </c>
      <c r="N33" s="3">
        <v>0</v>
      </c>
      <c r="O33" s="3">
        <v>0</v>
      </c>
      <c r="P33" s="3">
        <v>0</v>
      </c>
      <c r="Q33" s="3">
        <v>1201.3800000000001</v>
      </c>
      <c r="R33" s="3">
        <v>1099.82</v>
      </c>
      <c r="S33" s="3">
        <v>16863.12</v>
      </c>
      <c r="T33" s="3">
        <v>51059.4</v>
      </c>
      <c r="U33" s="3">
        <v>0</v>
      </c>
      <c r="V33" s="3">
        <v>1672.44</v>
      </c>
      <c r="W33" s="85">
        <v>308.2</v>
      </c>
      <c r="X33" s="20">
        <f t="shared" si="31"/>
        <v>23429.800000000003</v>
      </c>
      <c r="Y33" s="85">
        <v>17995.240000000002</v>
      </c>
      <c r="Z33" s="3"/>
      <c r="AA33" s="3"/>
      <c r="AB33" s="20">
        <f t="shared" si="32"/>
        <v>5434.56</v>
      </c>
      <c r="AC33" s="84"/>
      <c r="AD33" s="84">
        <v>0</v>
      </c>
      <c r="AE33" s="20">
        <f t="shared" si="33"/>
        <v>5380.4</v>
      </c>
      <c r="AF33" s="3"/>
      <c r="AG33" s="3"/>
      <c r="AH33" s="55"/>
      <c r="AI33" s="55"/>
    </row>
    <row r="34" spans="1:35" ht="63" x14ac:dyDescent="0.25">
      <c r="A34" s="115" t="s">
        <v>54</v>
      </c>
      <c r="B34" s="17" t="s">
        <v>49</v>
      </c>
      <c r="C34" s="17" t="s">
        <v>37</v>
      </c>
      <c r="D34" s="17" t="s">
        <v>45</v>
      </c>
      <c r="E34" s="121">
        <v>5286</v>
      </c>
      <c r="F34" s="20">
        <f t="shared" si="28"/>
        <v>2175.0120000000002</v>
      </c>
      <c r="G34" s="20">
        <f t="shared" si="29"/>
        <v>864.2</v>
      </c>
      <c r="H34" s="5">
        <v>663.75</v>
      </c>
      <c r="I34" s="3"/>
      <c r="J34" s="3"/>
      <c r="K34" s="20">
        <f t="shared" si="30"/>
        <v>200.45</v>
      </c>
      <c r="L34" s="3"/>
      <c r="M34" s="3">
        <v>88.35</v>
      </c>
      <c r="N34" s="3">
        <v>0</v>
      </c>
      <c r="O34" s="3">
        <v>89.35</v>
      </c>
      <c r="P34" s="3"/>
      <c r="Q34" s="3">
        <v>81.81</v>
      </c>
      <c r="R34" s="3">
        <v>34.53</v>
      </c>
      <c r="S34" s="3">
        <v>86.22</v>
      </c>
      <c r="T34" s="3">
        <v>95</v>
      </c>
      <c r="U34" s="3"/>
      <c r="V34" s="3">
        <v>13.5</v>
      </c>
      <c r="W34" s="85">
        <v>3.53</v>
      </c>
      <c r="X34" s="20">
        <f t="shared" si="31"/>
        <v>560.13</v>
      </c>
      <c r="Y34" s="85">
        <v>430.21</v>
      </c>
      <c r="Z34" s="3"/>
      <c r="AA34" s="3"/>
      <c r="AB34" s="20">
        <f t="shared" si="32"/>
        <v>129.91999999999999</v>
      </c>
      <c r="AC34" s="84"/>
      <c r="AD34" s="84">
        <v>347.74200000000002</v>
      </c>
      <c r="AE34" s="20">
        <f t="shared" si="33"/>
        <v>11497.1</v>
      </c>
      <c r="AF34" s="3">
        <v>98.95</v>
      </c>
      <c r="AG34" s="3">
        <f>SUM(AE34:AF35)</f>
        <v>12209.750000000002</v>
      </c>
      <c r="AH34" s="55"/>
      <c r="AI34" s="55"/>
    </row>
    <row r="35" spans="1:35" ht="47.25" x14ac:dyDescent="0.25">
      <c r="A35" s="115" t="s">
        <v>54</v>
      </c>
      <c r="B35" s="17" t="s">
        <v>50</v>
      </c>
      <c r="C35" s="17" t="s">
        <v>40</v>
      </c>
      <c r="D35" s="17" t="s">
        <v>45</v>
      </c>
      <c r="E35" s="121">
        <v>10</v>
      </c>
      <c r="F35" s="20">
        <f t="shared" si="28"/>
        <v>61370.610000000008</v>
      </c>
      <c r="G35" s="20">
        <f t="shared" si="29"/>
        <v>30901.210000000003</v>
      </c>
      <c r="H35" s="5">
        <v>23733.65</v>
      </c>
      <c r="I35" s="3"/>
      <c r="J35" s="3"/>
      <c r="K35" s="20">
        <f t="shared" si="30"/>
        <v>7167.56</v>
      </c>
      <c r="L35" s="3"/>
      <c r="M35" s="3">
        <v>730.23</v>
      </c>
      <c r="N35" s="3">
        <v>0</v>
      </c>
      <c r="O35" s="3">
        <v>730.23</v>
      </c>
      <c r="P35" s="3"/>
      <c r="Q35" s="3">
        <v>1483.8</v>
      </c>
      <c r="R35" s="3">
        <v>1765.7</v>
      </c>
      <c r="S35" s="3">
        <v>2723.86</v>
      </c>
      <c r="T35" s="3">
        <v>8000</v>
      </c>
      <c r="U35" s="3"/>
      <c r="V35" s="3">
        <v>1619.01</v>
      </c>
      <c r="W35" s="85">
        <v>1033.3499999999999</v>
      </c>
      <c r="X35" s="20">
        <f t="shared" si="31"/>
        <v>10676.4</v>
      </c>
      <c r="Y35" s="85">
        <v>8200</v>
      </c>
      <c r="Z35" s="3"/>
      <c r="AA35" s="3"/>
      <c r="AB35" s="20">
        <f t="shared" si="32"/>
        <v>2476.4</v>
      </c>
      <c r="AC35" s="84"/>
      <c r="AD35" s="84">
        <v>2437.0500000000002</v>
      </c>
      <c r="AE35" s="20">
        <f t="shared" si="33"/>
        <v>613.70000000000005</v>
      </c>
      <c r="AF35" s="3"/>
      <c r="AG35" s="3"/>
      <c r="AH35" s="55"/>
      <c r="AI35" s="55"/>
    </row>
    <row r="36" spans="1:35" ht="63" customHeight="1" x14ac:dyDescent="0.25">
      <c r="A36" s="123" t="s">
        <v>55</v>
      </c>
      <c r="B36" s="17" t="s">
        <v>56</v>
      </c>
      <c r="C36" s="17" t="s">
        <v>37</v>
      </c>
      <c r="D36" s="18" t="s">
        <v>53</v>
      </c>
      <c r="E36" s="121">
        <v>4130</v>
      </c>
      <c r="F36" s="120">
        <v>2600.2199999999998</v>
      </c>
      <c r="G36" s="20">
        <f t="shared" si="29"/>
        <v>0</v>
      </c>
      <c r="H36" s="5"/>
      <c r="I36" s="3"/>
      <c r="J36" s="3"/>
      <c r="K36" s="20">
        <f t="shared" si="30"/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85"/>
      <c r="X36" s="20">
        <f t="shared" si="31"/>
        <v>0</v>
      </c>
      <c r="Y36" s="85"/>
      <c r="Z36" s="3"/>
      <c r="AA36" s="3"/>
      <c r="AB36" s="20">
        <f t="shared" si="32"/>
        <v>0</v>
      </c>
      <c r="AC36" s="84"/>
      <c r="AD36" s="84"/>
      <c r="AE36" s="20">
        <f t="shared" si="33"/>
        <v>10738.9</v>
      </c>
      <c r="AF36" s="3"/>
      <c r="AG36" s="3"/>
      <c r="AH36" s="55"/>
      <c r="AI36" s="55"/>
    </row>
    <row r="37" spans="1:35" ht="47.25" x14ac:dyDescent="0.25">
      <c r="A37" s="123" t="s">
        <v>55</v>
      </c>
      <c r="B37" s="17" t="s">
        <v>57</v>
      </c>
      <c r="C37" s="17" t="s">
        <v>40</v>
      </c>
      <c r="D37" s="18" t="s">
        <v>45</v>
      </c>
      <c r="E37" s="121">
        <v>18</v>
      </c>
      <c r="F37" s="120">
        <v>18544.68</v>
      </c>
      <c r="G37" s="20">
        <f t="shared" si="29"/>
        <v>0</v>
      </c>
      <c r="H37" s="5"/>
      <c r="I37" s="3"/>
      <c r="J37" s="3"/>
      <c r="K37" s="20">
        <f t="shared" si="30"/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85"/>
      <c r="X37" s="20">
        <f t="shared" si="31"/>
        <v>0</v>
      </c>
      <c r="Y37" s="85"/>
      <c r="Z37" s="3"/>
      <c r="AA37" s="3"/>
      <c r="AB37" s="20">
        <f t="shared" si="32"/>
        <v>0</v>
      </c>
      <c r="AC37" s="84"/>
      <c r="AD37" s="84"/>
      <c r="AE37" s="20">
        <f t="shared" si="33"/>
        <v>333.8</v>
      </c>
      <c r="AF37" s="3"/>
      <c r="AG37" s="3"/>
      <c r="AH37" s="55"/>
      <c r="AI37" s="55"/>
    </row>
    <row r="38" spans="1:35" ht="47.25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21">
        <v>60</v>
      </c>
      <c r="F38" s="20">
        <f t="shared" si="28"/>
        <v>97541.046666666647</v>
      </c>
      <c r="G38" s="20">
        <f t="shared" si="29"/>
        <v>48851.040000000001</v>
      </c>
      <c r="H38" s="5">
        <v>37520</v>
      </c>
      <c r="I38" s="3"/>
      <c r="J38" s="3"/>
      <c r="K38" s="20">
        <f t="shared" si="30"/>
        <v>11331.04</v>
      </c>
      <c r="L38" s="3"/>
      <c r="M38" s="3">
        <v>4566.6666666666661</v>
      </c>
      <c r="N38" s="3">
        <v>2666.6666666666665</v>
      </c>
      <c r="O38" s="3">
        <v>1083.3333333333335</v>
      </c>
      <c r="P38" s="3"/>
      <c r="Q38" s="3">
        <v>1066.6666666666665</v>
      </c>
      <c r="R38" s="3">
        <v>9902.85</v>
      </c>
      <c r="S38" s="3">
        <v>2458.3333333333335</v>
      </c>
      <c r="T38" s="3">
        <v>1533.3333333333333</v>
      </c>
      <c r="U38" s="3"/>
      <c r="V38" s="3">
        <v>3620</v>
      </c>
      <c r="W38" s="85">
        <v>0</v>
      </c>
      <c r="X38" s="20">
        <f t="shared" si="31"/>
        <v>22915.200000000001</v>
      </c>
      <c r="Y38" s="85">
        <v>17600</v>
      </c>
      <c r="Z38" s="3"/>
      <c r="AA38" s="3"/>
      <c r="AB38" s="20">
        <f t="shared" si="32"/>
        <v>5315.2</v>
      </c>
      <c r="AC38" s="84"/>
      <c r="AD38" s="84">
        <v>2626.9566666666665</v>
      </c>
      <c r="AE38" s="20">
        <f t="shared" si="33"/>
        <v>5852.5</v>
      </c>
      <c r="AF38" s="3">
        <v>164.4</v>
      </c>
      <c r="AG38" s="3"/>
      <c r="AH38" s="55"/>
      <c r="AI38" s="55"/>
    </row>
    <row r="39" spans="1:35" ht="47.25" x14ac:dyDescent="0.25">
      <c r="A39" s="123" t="s">
        <v>59</v>
      </c>
      <c r="B39" s="17" t="s">
        <v>39</v>
      </c>
      <c r="C39" s="17" t="s">
        <v>40</v>
      </c>
      <c r="D39" s="17" t="s">
        <v>45</v>
      </c>
      <c r="E39" s="121">
        <v>52</v>
      </c>
      <c r="F39" s="120">
        <v>111682</v>
      </c>
      <c r="G39" s="20"/>
      <c r="H39" s="5"/>
      <c r="I39" s="3"/>
      <c r="J39" s="3"/>
      <c r="K39" s="20">
        <f t="shared" si="30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85"/>
      <c r="X39" s="20">
        <f t="shared" si="31"/>
        <v>0</v>
      </c>
      <c r="Y39" s="85"/>
      <c r="Z39" s="3"/>
      <c r="AA39" s="3"/>
      <c r="AB39" s="20">
        <f t="shared" si="32"/>
        <v>0</v>
      </c>
      <c r="AC39" s="84"/>
      <c r="AD39" s="84"/>
      <c r="AE39" s="20">
        <f t="shared" si="33"/>
        <v>5807.5</v>
      </c>
      <c r="AF39" s="3"/>
      <c r="AG39" s="3"/>
      <c r="AH39" s="55"/>
      <c r="AI39" s="55"/>
    </row>
    <row r="40" spans="1:35" ht="47.25" x14ac:dyDescent="0.25">
      <c r="A40" s="257" t="s">
        <v>60</v>
      </c>
      <c r="B40" s="116" t="s">
        <v>61</v>
      </c>
      <c r="C40" s="116" t="s">
        <v>62</v>
      </c>
      <c r="D40" s="116" t="s">
        <v>45</v>
      </c>
      <c r="E40" s="122"/>
      <c r="F40" s="20">
        <f t="shared" si="28"/>
        <v>0</v>
      </c>
      <c r="G40" s="20">
        <f t="shared" si="29"/>
        <v>0</v>
      </c>
      <c r="H40" s="5"/>
      <c r="I40" s="3"/>
      <c r="J40" s="3"/>
      <c r="K40" s="20">
        <f t="shared" si="30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85"/>
      <c r="X40" s="20">
        <f t="shared" si="31"/>
        <v>0</v>
      </c>
      <c r="Y40" s="85"/>
      <c r="Z40" s="3"/>
      <c r="AA40" s="3"/>
      <c r="AB40" s="20">
        <f t="shared" si="32"/>
        <v>0</v>
      </c>
      <c r="AC40" s="84"/>
      <c r="AD40" s="84"/>
      <c r="AE40" s="20">
        <f t="shared" si="33"/>
        <v>0</v>
      </c>
      <c r="AF40" s="3"/>
      <c r="AG40" s="3"/>
      <c r="AH40" s="55"/>
      <c r="AI40" s="55"/>
    </row>
    <row r="41" spans="1:35" ht="120" x14ac:dyDescent="0.25">
      <c r="A41" s="258"/>
      <c r="B41" s="86" t="s">
        <v>82</v>
      </c>
      <c r="C41" s="39" t="s">
        <v>64</v>
      </c>
      <c r="D41" s="38" t="s">
        <v>65</v>
      </c>
      <c r="E41" s="122"/>
      <c r="F41" s="20">
        <f t="shared" si="28"/>
        <v>0</v>
      </c>
      <c r="G41" s="20">
        <f t="shared" si="29"/>
        <v>0</v>
      </c>
      <c r="H41" s="5"/>
      <c r="I41" s="3"/>
      <c r="J41" s="3"/>
      <c r="K41" s="20">
        <f t="shared" si="30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85"/>
      <c r="X41" s="20">
        <f t="shared" si="31"/>
        <v>0</v>
      </c>
      <c r="Y41" s="85"/>
      <c r="Z41" s="3"/>
      <c r="AA41" s="3"/>
      <c r="AB41" s="20">
        <f t="shared" si="32"/>
        <v>0</v>
      </c>
      <c r="AC41" s="84"/>
      <c r="AD41" s="84"/>
      <c r="AE41" s="20">
        <f t="shared" si="33"/>
        <v>0</v>
      </c>
      <c r="AF41" s="3"/>
      <c r="AG41" s="3"/>
      <c r="AH41" s="55"/>
      <c r="AI41" s="55"/>
    </row>
    <row r="42" spans="1:35" ht="180" x14ac:dyDescent="0.25">
      <c r="A42" s="258"/>
      <c r="B42" s="88" t="s">
        <v>83</v>
      </c>
      <c r="C42" s="39" t="s">
        <v>64</v>
      </c>
      <c r="D42" s="38" t="s">
        <v>65</v>
      </c>
      <c r="E42" s="122"/>
      <c r="F42" s="20">
        <f t="shared" si="28"/>
        <v>0</v>
      </c>
      <c r="G42" s="20">
        <f t="shared" si="29"/>
        <v>0</v>
      </c>
      <c r="H42" s="5"/>
      <c r="I42" s="3"/>
      <c r="J42" s="3"/>
      <c r="K42" s="20">
        <f t="shared" si="30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85"/>
      <c r="X42" s="20">
        <f t="shared" si="31"/>
        <v>0</v>
      </c>
      <c r="Y42" s="85"/>
      <c r="Z42" s="3"/>
      <c r="AA42" s="3"/>
      <c r="AB42" s="20">
        <f t="shared" si="32"/>
        <v>0</v>
      </c>
      <c r="AC42" s="84"/>
      <c r="AD42" s="84"/>
      <c r="AE42" s="20">
        <f t="shared" si="33"/>
        <v>0</v>
      </c>
      <c r="AF42" s="3"/>
      <c r="AG42" s="3"/>
      <c r="AH42" s="55"/>
      <c r="AI42" s="55"/>
    </row>
    <row r="43" spans="1:35" ht="90" x14ac:dyDescent="0.25">
      <c r="A43" s="258"/>
      <c r="B43" s="88" t="s">
        <v>84</v>
      </c>
      <c r="C43" s="39" t="s">
        <v>64</v>
      </c>
      <c r="D43" s="38" t="s">
        <v>65</v>
      </c>
      <c r="E43" s="122"/>
      <c r="F43" s="20">
        <f t="shared" si="28"/>
        <v>0</v>
      </c>
      <c r="G43" s="20">
        <f t="shared" si="29"/>
        <v>0</v>
      </c>
      <c r="H43" s="5"/>
      <c r="I43" s="3"/>
      <c r="J43" s="3"/>
      <c r="K43" s="20">
        <f t="shared" si="30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85"/>
      <c r="X43" s="20">
        <f t="shared" si="31"/>
        <v>0</v>
      </c>
      <c r="Y43" s="85"/>
      <c r="Z43" s="3"/>
      <c r="AA43" s="3"/>
      <c r="AB43" s="20">
        <f t="shared" si="32"/>
        <v>0</v>
      </c>
      <c r="AC43" s="84"/>
      <c r="AD43" s="84"/>
      <c r="AE43" s="20">
        <f t="shared" si="33"/>
        <v>0</v>
      </c>
      <c r="AF43" s="3"/>
      <c r="AG43" s="3"/>
      <c r="AH43" s="55"/>
      <c r="AI43" s="55"/>
    </row>
    <row r="44" spans="1:35" ht="15.75" x14ac:dyDescent="0.25">
      <c r="A44" s="114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>
        <f>SUM(AG11:AG43)</f>
        <v>1750601.1899999997</v>
      </c>
      <c r="AH44" s="55"/>
      <c r="AI44" s="55"/>
    </row>
    <row r="45" spans="1:35" ht="15.75" x14ac:dyDescent="0.25">
      <c r="A45" s="114"/>
      <c r="B45" s="9"/>
      <c r="C45" s="82"/>
      <c r="D45" s="9"/>
      <c r="E45" s="83"/>
      <c r="F45" s="3"/>
      <c r="G45" s="3"/>
      <c r="H45" s="3"/>
      <c r="I45" s="84"/>
      <c r="J45" s="3"/>
      <c r="K45" s="3"/>
      <c r="L45" s="3"/>
      <c r="M45" s="84"/>
      <c r="N45" s="84"/>
      <c r="O45" s="84"/>
      <c r="P45" s="84"/>
      <c r="Q45" s="84"/>
      <c r="R45" s="3"/>
      <c r="S45" s="84"/>
      <c r="T45" s="3"/>
      <c r="U45" s="3"/>
      <c r="V45" s="84"/>
      <c r="W45" s="3"/>
      <c r="X45" s="3"/>
      <c r="Y45" s="85"/>
      <c r="Z45" s="84"/>
      <c r="AA45" s="3"/>
      <c r="AB45" s="3"/>
      <c r="AC45" s="84"/>
      <c r="AD45" s="84"/>
      <c r="AE45" s="3"/>
      <c r="AF45" s="84"/>
      <c r="AG45" s="3"/>
      <c r="AH45" s="55"/>
      <c r="AI45" s="55"/>
    </row>
    <row r="46" spans="1:35" ht="22.5" x14ac:dyDescent="0.25">
      <c r="A46" s="9" t="s">
        <v>70</v>
      </c>
      <c r="AE46" s="54">
        <f>SUM(AE23:AE25)</f>
        <v>256023.4</v>
      </c>
      <c r="AF46" s="54">
        <f>SUM(AF23:AF25)</f>
        <v>244.6</v>
      </c>
      <c r="AG46" s="53">
        <f>SUM(AG23:AG25)</f>
        <v>256268</v>
      </c>
      <c r="AH46" s="53">
        <f>SUM(AH23:AH25)</f>
        <v>191997.76069999998</v>
      </c>
      <c r="AI46" s="56">
        <v>557329100.26582909</v>
      </c>
    </row>
    <row r="47" spans="1:35" ht="20.25" x14ac:dyDescent="0.25">
      <c r="A47" s="9" t="s">
        <v>71</v>
      </c>
      <c r="AE47" s="4"/>
      <c r="AF47" s="4"/>
      <c r="AG47" s="49">
        <v>742534.50000000012</v>
      </c>
      <c r="AH47" s="49">
        <v>557329.10026582901</v>
      </c>
      <c r="AI47" s="50">
        <v>557329.1</v>
      </c>
    </row>
    <row r="48" spans="1:35" x14ac:dyDescent="0.25">
      <c r="AE48" s="4"/>
      <c r="AF48" s="4"/>
      <c r="AG48" s="50">
        <f>AG46-AG47</f>
        <v>-486266.50000000012</v>
      </c>
      <c r="AH48" s="57">
        <f>AH46-AH47</f>
        <v>-365331.33956582902</v>
      </c>
      <c r="AI48" s="4"/>
    </row>
    <row r="49" spans="33:35" x14ac:dyDescent="0.25">
      <c r="AG49" s="2"/>
      <c r="AH49" s="50"/>
      <c r="AI49" s="50"/>
    </row>
  </sheetData>
  <mergeCells count="42">
    <mergeCell ref="A40:A43"/>
    <mergeCell ref="AG23:AG25"/>
    <mergeCell ref="AB7:AB9"/>
    <mergeCell ref="AC7:AC9"/>
    <mergeCell ref="M8:M9"/>
    <mergeCell ref="N8:O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AF3:AF9"/>
    <mergeCell ref="G6:G9"/>
    <mergeCell ref="H6:L6"/>
    <mergeCell ref="X6:X9"/>
    <mergeCell ref="Y6:AC6"/>
    <mergeCell ref="H7:H9"/>
    <mergeCell ref="A3:A9"/>
    <mergeCell ref="B3:B9"/>
    <mergeCell ref="C3:D3"/>
    <mergeCell ref="F3:AD3"/>
    <mergeCell ref="AE3:AE9"/>
    <mergeCell ref="R5:R9"/>
    <mergeCell ref="S5:S9"/>
    <mergeCell ref="T5:T9"/>
    <mergeCell ref="U5:U9"/>
    <mergeCell ref="I7:I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61"/>
  <sheetViews>
    <sheetView zoomScale="70" zoomScaleNormal="70" workbookViewId="0">
      <pane ySplit="10" topLeftCell="A38" activePane="bottomLeft" state="frozen"/>
      <selection activeCell="G15" sqref="G15"/>
      <selection pane="bottomLeft" activeCell="G15" sqref="G15"/>
    </sheetView>
  </sheetViews>
  <sheetFormatPr defaultRowHeight="15" x14ac:dyDescent="0.25"/>
  <cols>
    <col min="1" max="1" width="19.285156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customWidth="1"/>
  </cols>
  <sheetData>
    <row r="1" spans="1:36" x14ac:dyDescent="0.25">
      <c r="A1" t="s">
        <v>88</v>
      </c>
    </row>
    <row r="2" spans="1:36" ht="18.75" x14ac:dyDescent="0.3">
      <c r="A2" s="118" t="s">
        <v>86</v>
      </c>
      <c r="B2" s="124" t="s">
        <v>89</v>
      </c>
      <c r="C2" s="138" t="s">
        <v>93</v>
      </c>
    </row>
    <row r="3" spans="1:36" ht="15.75" x14ac:dyDescent="0.25">
      <c r="A3" s="247" t="s">
        <v>0</v>
      </c>
      <c r="B3" s="243" t="s">
        <v>1</v>
      </c>
      <c r="C3" s="248" t="s">
        <v>2</v>
      </c>
      <c r="D3" s="248"/>
      <c r="E3" s="112"/>
      <c r="F3" s="243" t="s">
        <v>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 t="s">
        <v>4</v>
      </c>
      <c r="AF3" s="243" t="s">
        <v>5</v>
      </c>
      <c r="AG3" s="244" t="s">
        <v>6</v>
      </c>
      <c r="AH3" s="4"/>
      <c r="AI3" s="4"/>
    </row>
    <row r="4" spans="1:36" ht="15.75" x14ac:dyDescent="0.25">
      <c r="A4" s="238"/>
      <c r="B4" s="242"/>
      <c r="C4" s="249" t="s">
        <v>7</v>
      </c>
      <c r="D4" s="249" t="s">
        <v>8</v>
      </c>
      <c r="E4" s="249" t="s">
        <v>9</v>
      </c>
      <c r="F4" s="246" t="s">
        <v>10</v>
      </c>
      <c r="G4" s="250" t="s">
        <v>11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42"/>
      <c r="AF4" s="242"/>
      <c r="AG4" s="245"/>
      <c r="AH4" s="4"/>
      <c r="AI4" s="4"/>
    </row>
    <row r="5" spans="1:36" ht="15.75" x14ac:dyDescent="0.25">
      <c r="A5" s="238"/>
      <c r="B5" s="242"/>
      <c r="C5" s="249"/>
      <c r="D5" s="249"/>
      <c r="E5" s="249"/>
      <c r="F5" s="246"/>
      <c r="G5" s="242" t="s">
        <v>12</v>
      </c>
      <c r="H5" s="242"/>
      <c r="I5" s="242"/>
      <c r="J5" s="242"/>
      <c r="K5" s="242"/>
      <c r="L5" s="242"/>
      <c r="M5" s="242" t="s">
        <v>13</v>
      </c>
      <c r="N5" s="242"/>
      <c r="O5" s="242"/>
      <c r="P5" s="242" t="s">
        <v>14</v>
      </c>
      <c r="Q5" s="242" t="s">
        <v>15</v>
      </c>
      <c r="R5" s="242" t="s">
        <v>16</v>
      </c>
      <c r="S5" s="242" t="s">
        <v>17</v>
      </c>
      <c r="T5" s="242" t="s">
        <v>18</v>
      </c>
      <c r="U5" s="242" t="s">
        <v>19</v>
      </c>
      <c r="V5" s="242" t="s">
        <v>20</v>
      </c>
      <c r="W5" s="242" t="s">
        <v>21</v>
      </c>
      <c r="X5" s="242" t="s">
        <v>22</v>
      </c>
      <c r="Y5" s="242"/>
      <c r="Z5" s="242"/>
      <c r="AA5" s="242"/>
      <c r="AB5" s="242"/>
      <c r="AC5" s="242"/>
      <c r="AD5" s="242" t="s">
        <v>23</v>
      </c>
      <c r="AE5" s="242"/>
      <c r="AF5" s="242"/>
      <c r="AG5" s="245"/>
      <c r="AH5" s="4"/>
      <c r="AI5" s="4"/>
    </row>
    <row r="6" spans="1:36" ht="15.75" x14ac:dyDescent="0.25">
      <c r="A6" s="238"/>
      <c r="B6" s="242"/>
      <c r="C6" s="249"/>
      <c r="D6" s="249"/>
      <c r="E6" s="249"/>
      <c r="F6" s="246"/>
      <c r="G6" s="246" t="s">
        <v>24</v>
      </c>
      <c r="H6" s="242" t="s">
        <v>11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6" t="s">
        <v>25</v>
      </c>
      <c r="Y6" s="242" t="s">
        <v>11</v>
      </c>
      <c r="Z6" s="242"/>
      <c r="AA6" s="242"/>
      <c r="AB6" s="242"/>
      <c r="AC6" s="242"/>
      <c r="AD6" s="242"/>
      <c r="AE6" s="242"/>
      <c r="AF6" s="242"/>
      <c r="AG6" s="245"/>
      <c r="AH6" s="4"/>
      <c r="AI6" s="4"/>
    </row>
    <row r="7" spans="1:36" x14ac:dyDescent="0.25">
      <c r="A7" s="238"/>
      <c r="B7" s="242"/>
      <c r="C7" s="249"/>
      <c r="D7" s="249"/>
      <c r="E7" s="249"/>
      <c r="F7" s="246"/>
      <c r="G7" s="246"/>
      <c r="H7" s="242" t="s">
        <v>26</v>
      </c>
      <c r="I7" s="242" t="s">
        <v>27</v>
      </c>
      <c r="J7" s="242" t="s">
        <v>28</v>
      </c>
      <c r="K7" s="242" t="s">
        <v>29</v>
      </c>
      <c r="L7" s="242" t="s">
        <v>30</v>
      </c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6"/>
      <c r="Y7" s="242" t="s">
        <v>26</v>
      </c>
      <c r="Z7" s="242" t="s">
        <v>27</v>
      </c>
      <c r="AA7" s="242" t="s">
        <v>28</v>
      </c>
      <c r="AB7" s="242" t="s">
        <v>29</v>
      </c>
      <c r="AC7" s="242" t="s">
        <v>30</v>
      </c>
      <c r="AD7" s="242"/>
      <c r="AE7" s="242"/>
      <c r="AF7" s="242"/>
      <c r="AG7" s="245"/>
      <c r="AH7" s="4"/>
      <c r="AI7" s="4"/>
    </row>
    <row r="8" spans="1:36" ht="15.75" x14ac:dyDescent="0.25">
      <c r="A8" s="238"/>
      <c r="B8" s="242"/>
      <c r="C8" s="249"/>
      <c r="D8" s="249"/>
      <c r="E8" s="249"/>
      <c r="F8" s="246"/>
      <c r="G8" s="246"/>
      <c r="H8" s="242"/>
      <c r="I8" s="242"/>
      <c r="J8" s="242"/>
      <c r="K8" s="242"/>
      <c r="L8" s="242"/>
      <c r="M8" s="246" t="s">
        <v>31</v>
      </c>
      <c r="N8" s="242" t="s">
        <v>32</v>
      </c>
      <c r="O8" s="242"/>
      <c r="P8" s="242"/>
      <c r="Q8" s="242"/>
      <c r="R8" s="242"/>
      <c r="S8" s="242"/>
      <c r="T8" s="242"/>
      <c r="U8" s="242"/>
      <c r="V8" s="242"/>
      <c r="W8" s="242"/>
      <c r="X8" s="246"/>
      <c r="Y8" s="242"/>
      <c r="Z8" s="242"/>
      <c r="AA8" s="242"/>
      <c r="AB8" s="242"/>
      <c r="AC8" s="242"/>
      <c r="AD8" s="242"/>
      <c r="AE8" s="242"/>
      <c r="AF8" s="242"/>
      <c r="AG8" s="245"/>
      <c r="AH8" s="4"/>
      <c r="AI8" s="4"/>
    </row>
    <row r="9" spans="1:36" ht="94.5" x14ac:dyDescent="0.25">
      <c r="A9" s="238"/>
      <c r="B9" s="242"/>
      <c r="C9" s="249"/>
      <c r="D9" s="249"/>
      <c r="E9" s="249"/>
      <c r="F9" s="246"/>
      <c r="G9" s="246"/>
      <c r="H9" s="242"/>
      <c r="I9" s="242"/>
      <c r="J9" s="242"/>
      <c r="K9" s="242"/>
      <c r="L9" s="242"/>
      <c r="M9" s="246"/>
      <c r="N9" s="110" t="s">
        <v>33</v>
      </c>
      <c r="O9" s="110" t="s">
        <v>34</v>
      </c>
      <c r="P9" s="242"/>
      <c r="Q9" s="242"/>
      <c r="R9" s="242"/>
      <c r="S9" s="242"/>
      <c r="T9" s="242"/>
      <c r="U9" s="242"/>
      <c r="V9" s="242"/>
      <c r="W9" s="242"/>
      <c r="X9" s="246"/>
      <c r="Y9" s="242"/>
      <c r="Z9" s="242"/>
      <c r="AA9" s="242"/>
      <c r="AB9" s="242"/>
      <c r="AC9" s="242"/>
      <c r="AD9" s="242"/>
      <c r="AE9" s="242"/>
      <c r="AF9" s="242"/>
      <c r="AG9" s="245"/>
      <c r="AH9" s="44" t="s">
        <v>68</v>
      </c>
      <c r="AI9" s="45" t="s">
        <v>69</v>
      </c>
    </row>
    <row r="10" spans="1:36" ht="15.75" x14ac:dyDescent="0.25">
      <c r="A10" s="111">
        <v>1</v>
      </c>
      <c r="B10" s="116">
        <v>2</v>
      </c>
      <c r="C10" s="113">
        <v>3</v>
      </c>
      <c r="D10" s="116">
        <v>4</v>
      </c>
      <c r="E10" s="113">
        <v>5</v>
      </c>
      <c r="F10" s="116">
        <v>6</v>
      </c>
      <c r="G10" s="113">
        <v>7</v>
      </c>
      <c r="H10" s="116">
        <v>8</v>
      </c>
      <c r="I10" s="113">
        <v>9</v>
      </c>
      <c r="J10" s="116">
        <v>10</v>
      </c>
      <c r="K10" s="113">
        <v>11</v>
      </c>
      <c r="L10" s="116">
        <v>12</v>
      </c>
      <c r="M10" s="113">
        <v>13</v>
      </c>
      <c r="N10" s="110">
        <v>14</v>
      </c>
      <c r="O10" s="116">
        <v>15</v>
      </c>
      <c r="P10" s="116">
        <f>O10+1</f>
        <v>16</v>
      </c>
      <c r="Q10" s="116">
        <f t="shared" ref="Q10:AD10" si="0">P10+1</f>
        <v>17</v>
      </c>
      <c r="R10" s="116">
        <f t="shared" si="0"/>
        <v>18</v>
      </c>
      <c r="S10" s="116">
        <f t="shared" si="0"/>
        <v>19</v>
      </c>
      <c r="T10" s="116">
        <f t="shared" si="0"/>
        <v>20</v>
      </c>
      <c r="U10" s="116">
        <f t="shared" si="0"/>
        <v>21</v>
      </c>
      <c r="V10" s="116">
        <f t="shared" si="0"/>
        <v>22</v>
      </c>
      <c r="W10" s="116">
        <f t="shared" si="0"/>
        <v>23</v>
      </c>
      <c r="X10" s="116">
        <f t="shared" si="0"/>
        <v>24</v>
      </c>
      <c r="Y10" s="116">
        <f t="shared" si="0"/>
        <v>25</v>
      </c>
      <c r="Z10" s="116">
        <f t="shared" si="0"/>
        <v>26</v>
      </c>
      <c r="AA10" s="116">
        <f t="shared" si="0"/>
        <v>27</v>
      </c>
      <c r="AB10" s="116">
        <f t="shared" si="0"/>
        <v>28</v>
      </c>
      <c r="AC10" s="116">
        <f t="shared" si="0"/>
        <v>29</v>
      </c>
      <c r="AD10" s="116">
        <f t="shared" si="0"/>
        <v>30</v>
      </c>
      <c r="AE10" s="116">
        <f>AF10+1</f>
        <v>32</v>
      </c>
      <c r="AF10" s="116">
        <f>AD10+1</f>
        <v>31</v>
      </c>
      <c r="AG10" s="15"/>
      <c r="AH10" s="46"/>
      <c r="AI10" s="4"/>
    </row>
    <row r="11" spans="1:36" ht="78.75" x14ac:dyDescent="0.25">
      <c r="A11" s="115" t="s">
        <v>35</v>
      </c>
      <c r="B11" s="17" t="s">
        <v>36</v>
      </c>
      <c r="C11" s="17" t="s">
        <v>37</v>
      </c>
      <c r="D11" s="18" t="s">
        <v>38</v>
      </c>
      <c r="E11" s="121">
        <v>106614</v>
      </c>
      <c r="F11" s="20">
        <f t="shared" ref="F11:F22" si="1">SUM(G11,M11,Q11,R11,S11,T11,V11,W11,X11,AD11,P11,U11)</f>
        <v>4178.68</v>
      </c>
      <c r="G11" s="20">
        <f t="shared" ref="G11:G22" si="2">SUM(H11:L11)</f>
        <v>1742.6599999999999</v>
      </c>
      <c r="H11">
        <v>1338.4499999999998</v>
      </c>
      <c r="K11" s="20">
        <f t="shared" ref="K11:K22" si="3">ROUND(H11*0.302,2)</f>
        <v>404.21</v>
      </c>
      <c r="M11">
        <v>209.66</v>
      </c>
      <c r="N11">
        <v>0</v>
      </c>
      <c r="O11">
        <v>65.849999999999994</v>
      </c>
      <c r="P11">
        <v>0</v>
      </c>
      <c r="Q11">
        <v>1.07</v>
      </c>
      <c r="R11">
        <v>197.04999999999998</v>
      </c>
      <c r="S11">
        <v>92.28</v>
      </c>
      <c r="T11">
        <v>0</v>
      </c>
      <c r="U11">
        <v>485.05999999999995</v>
      </c>
      <c r="V11">
        <v>18.63</v>
      </c>
      <c r="W11">
        <v>0</v>
      </c>
      <c r="X11" s="20">
        <f t="shared" ref="X11:X22" si="4">SUM(Y11:AC11)</f>
        <v>1366.25</v>
      </c>
      <c r="Y11">
        <v>1049.3499999999999</v>
      </c>
      <c r="AB11" s="20">
        <f t="shared" ref="AB11:AB22" si="5">ROUND(Y11*0.302,2)</f>
        <v>316.89999999999998</v>
      </c>
      <c r="AD11">
        <v>66.02</v>
      </c>
      <c r="AE11" s="20">
        <f t="shared" ref="AE11:AE22" si="6">ROUND(E11*F11/1000,1)</f>
        <v>445505.8</v>
      </c>
      <c r="AF11">
        <v>761.2</v>
      </c>
      <c r="AG11" s="108">
        <f>SUM(AE11:AF13)</f>
        <v>454459.80000000005</v>
      </c>
      <c r="AH11" s="47"/>
      <c r="AI11" s="55"/>
    </row>
    <row r="12" spans="1:36" ht="63" x14ac:dyDescent="0.25">
      <c r="A12" s="115" t="s">
        <v>35</v>
      </c>
      <c r="B12" s="17" t="s">
        <v>39</v>
      </c>
      <c r="C12" s="17" t="s">
        <v>40</v>
      </c>
      <c r="D12" s="18" t="s">
        <v>38</v>
      </c>
      <c r="E12" s="121">
        <v>215</v>
      </c>
      <c r="F12" s="20">
        <f t="shared" si="1"/>
        <v>32441.58</v>
      </c>
      <c r="G12" s="20">
        <f t="shared" si="2"/>
        <v>28052.89</v>
      </c>
      <c r="H12">
        <v>21546</v>
      </c>
      <c r="K12" s="20">
        <f t="shared" si="3"/>
        <v>6506.89</v>
      </c>
      <c r="M12">
        <v>249.04</v>
      </c>
      <c r="N12">
        <v>0</v>
      </c>
      <c r="O12">
        <v>39.630000000000003</v>
      </c>
      <c r="P12">
        <v>0</v>
      </c>
      <c r="Q12">
        <v>55.160000000000004</v>
      </c>
      <c r="R12">
        <v>117.62000000000002</v>
      </c>
      <c r="S12">
        <v>561.74</v>
      </c>
      <c r="T12">
        <v>0</v>
      </c>
      <c r="U12">
        <v>235.15</v>
      </c>
      <c r="V12">
        <v>13.139999999999999</v>
      </c>
      <c r="W12">
        <v>0</v>
      </c>
      <c r="X12" s="20">
        <f t="shared" si="4"/>
        <v>2584.7799999999997</v>
      </c>
      <c r="Y12">
        <v>1985.24</v>
      </c>
      <c r="AB12" s="20">
        <f t="shared" si="5"/>
        <v>599.54</v>
      </c>
      <c r="AD12">
        <v>572.05999999999995</v>
      </c>
      <c r="AE12" s="20">
        <f t="shared" si="6"/>
        <v>6974.9</v>
      </c>
      <c r="AF12">
        <v>0</v>
      </c>
      <c r="AH12" s="47"/>
      <c r="AI12" s="55"/>
    </row>
    <row r="13" spans="1:36" ht="56.25" x14ac:dyDescent="0.25">
      <c r="A13" s="23" t="s">
        <v>35</v>
      </c>
      <c r="B13" s="17" t="s">
        <v>41</v>
      </c>
      <c r="C13" s="117" t="s">
        <v>42</v>
      </c>
      <c r="D13" s="18" t="s">
        <v>38</v>
      </c>
      <c r="E13" s="121">
        <v>10</v>
      </c>
      <c r="F13" s="20">
        <f t="shared" si="1"/>
        <v>121792.38</v>
      </c>
      <c r="G13" s="20">
        <f t="shared" si="2"/>
        <v>78555.39</v>
      </c>
      <c r="H13">
        <v>60334.400000000001</v>
      </c>
      <c r="K13" s="20">
        <f t="shared" si="3"/>
        <v>18220.990000000002</v>
      </c>
      <c r="M13">
        <v>915.93</v>
      </c>
      <c r="N13">
        <v>0</v>
      </c>
      <c r="O13">
        <v>83.39</v>
      </c>
      <c r="P13">
        <v>0</v>
      </c>
      <c r="Q13">
        <v>12413.880000000001</v>
      </c>
      <c r="R13">
        <v>464.46000000000004</v>
      </c>
      <c r="S13">
        <v>1224.76</v>
      </c>
      <c r="T13">
        <v>0</v>
      </c>
      <c r="U13">
        <v>14333.18</v>
      </c>
      <c r="V13">
        <v>67.3</v>
      </c>
      <c r="W13">
        <v>0</v>
      </c>
      <c r="X13" s="20">
        <f t="shared" si="4"/>
        <v>11143.62</v>
      </c>
      <c r="Y13">
        <v>8558.85</v>
      </c>
      <c r="AB13" s="20">
        <f t="shared" si="5"/>
        <v>2584.77</v>
      </c>
      <c r="AD13">
        <v>2673.86</v>
      </c>
      <c r="AE13" s="20">
        <f t="shared" si="6"/>
        <v>1217.9000000000001</v>
      </c>
      <c r="AF13">
        <v>0</v>
      </c>
      <c r="AH13" s="47"/>
      <c r="AI13" s="55"/>
    </row>
    <row r="14" spans="1:36" ht="78.75" x14ac:dyDescent="0.25">
      <c r="A14" s="123" t="s">
        <v>43</v>
      </c>
      <c r="B14" s="17" t="s">
        <v>36</v>
      </c>
      <c r="C14" s="17" t="s">
        <v>37</v>
      </c>
      <c r="D14" s="17" t="s">
        <v>38</v>
      </c>
      <c r="E14" s="121">
        <v>48070</v>
      </c>
      <c r="F14" s="120">
        <v>4325.8</v>
      </c>
      <c r="G14" s="20">
        <f t="shared" si="2"/>
        <v>0</v>
      </c>
      <c r="H14" s="3"/>
      <c r="I14" s="84"/>
      <c r="J14" s="3"/>
      <c r="K14" s="20">
        <f t="shared" si="3"/>
        <v>0</v>
      </c>
      <c r="L14" s="3"/>
      <c r="M14" s="84"/>
      <c r="N14" s="84"/>
      <c r="O14" s="84"/>
      <c r="P14" s="84"/>
      <c r="Q14" s="84"/>
      <c r="R14" s="3"/>
      <c r="S14" s="84"/>
      <c r="T14" s="3"/>
      <c r="U14" s="3"/>
      <c r="V14" s="84"/>
      <c r="W14" s="3"/>
      <c r="X14" s="20">
        <f t="shared" si="4"/>
        <v>0</v>
      </c>
      <c r="Y14" s="85"/>
      <c r="Z14" s="84"/>
      <c r="AA14" s="3"/>
      <c r="AB14" s="20">
        <f t="shared" si="5"/>
        <v>0</v>
      </c>
      <c r="AC14" s="84"/>
      <c r="AD14" s="84"/>
      <c r="AE14" s="20">
        <f t="shared" si="6"/>
        <v>207941.2</v>
      </c>
      <c r="AF14" s="84">
        <v>301.11</v>
      </c>
      <c r="AG14" s="130">
        <f>SUM(AE14:AF16)</f>
        <v>210520.61</v>
      </c>
      <c r="AH14" s="55"/>
      <c r="AI14" s="55"/>
      <c r="AJ14" s="128" t="s">
        <v>90</v>
      </c>
    </row>
    <row r="15" spans="1:36" ht="63" x14ac:dyDescent="0.25">
      <c r="A15" s="123" t="s">
        <v>43</v>
      </c>
      <c r="B15" s="17" t="s">
        <v>39</v>
      </c>
      <c r="C15" s="17" t="s">
        <v>40</v>
      </c>
      <c r="D15" s="17" t="s">
        <v>38</v>
      </c>
      <c r="E15" s="121">
        <v>60</v>
      </c>
      <c r="F15" s="120">
        <v>32573.599999999999</v>
      </c>
      <c r="G15" s="20">
        <f t="shared" si="2"/>
        <v>0</v>
      </c>
      <c r="H15" s="3"/>
      <c r="I15" s="84"/>
      <c r="J15" s="3"/>
      <c r="K15" s="20">
        <f t="shared" si="3"/>
        <v>0</v>
      </c>
      <c r="L15" s="3"/>
      <c r="M15" s="84"/>
      <c r="N15" s="84"/>
      <c r="O15" s="84"/>
      <c r="P15" s="84"/>
      <c r="Q15" s="84"/>
      <c r="R15" s="3"/>
      <c r="S15" s="84"/>
      <c r="T15" s="3"/>
      <c r="U15" s="3"/>
      <c r="V15" s="84"/>
      <c r="W15" s="3"/>
      <c r="X15" s="20">
        <f t="shared" si="4"/>
        <v>0</v>
      </c>
      <c r="Y15" s="85"/>
      <c r="Z15" s="84"/>
      <c r="AA15" s="3"/>
      <c r="AB15" s="20">
        <f t="shared" si="5"/>
        <v>0</v>
      </c>
      <c r="AC15" s="84"/>
      <c r="AD15" s="84"/>
      <c r="AE15" s="20">
        <f t="shared" si="6"/>
        <v>1954.4</v>
      </c>
      <c r="AF15" s="84"/>
      <c r="AG15" s="3"/>
      <c r="AH15" s="55"/>
      <c r="AI15" s="55"/>
    </row>
    <row r="16" spans="1:36" ht="47.25" x14ac:dyDescent="0.25">
      <c r="A16" s="123" t="s">
        <v>43</v>
      </c>
      <c r="B16" s="17" t="s">
        <v>41</v>
      </c>
      <c r="C16" s="17" t="s">
        <v>42</v>
      </c>
      <c r="D16" s="17" t="s">
        <v>38</v>
      </c>
      <c r="E16" s="121">
        <v>1</v>
      </c>
      <c r="F16" s="120">
        <v>323871.59999999998</v>
      </c>
      <c r="G16" s="20">
        <f t="shared" si="2"/>
        <v>0</v>
      </c>
      <c r="H16" s="3"/>
      <c r="I16" s="84"/>
      <c r="J16" s="3"/>
      <c r="K16" s="20">
        <f t="shared" si="3"/>
        <v>0</v>
      </c>
      <c r="L16" s="3"/>
      <c r="M16" s="84"/>
      <c r="N16" s="84"/>
      <c r="O16" s="84"/>
      <c r="P16" s="84"/>
      <c r="Q16" s="84"/>
      <c r="R16" s="3"/>
      <c r="S16" s="84"/>
      <c r="T16" s="3"/>
      <c r="U16" s="3"/>
      <c r="V16" s="84"/>
      <c r="W16" s="3"/>
      <c r="X16" s="20">
        <f t="shared" si="4"/>
        <v>0</v>
      </c>
      <c r="Y16" s="85"/>
      <c r="Z16" s="84"/>
      <c r="AA16" s="3"/>
      <c r="AB16" s="20">
        <f t="shared" si="5"/>
        <v>0</v>
      </c>
      <c r="AC16" s="84"/>
      <c r="AD16" s="84"/>
      <c r="AE16" s="20">
        <f t="shared" si="6"/>
        <v>323.89999999999998</v>
      </c>
      <c r="AF16" s="84"/>
      <c r="AG16" s="3"/>
      <c r="AH16" s="55"/>
      <c r="AI16" s="55"/>
    </row>
    <row r="17" spans="1:35" ht="78.75" x14ac:dyDescent="0.25">
      <c r="A17" s="127" t="s">
        <v>44</v>
      </c>
      <c r="B17" s="17" t="s">
        <v>36</v>
      </c>
      <c r="C17" s="17" t="s">
        <v>37</v>
      </c>
      <c r="D17" s="17" t="s">
        <v>45</v>
      </c>
      <c r="E17" s="121">
        <v>77305</v>
      </c>
      <c r="F17" s="20">
        <f t="shared" si="1"/>
        <v>4801.461756996745</v>
      </c>
      <c r="G17" s="20">
        <f t="shared" si="2"/>
        <v>2206.582305154906</v>
      </c>
      <c r="H17" s="3">
        <v>1694.7623051549058</v>
      </c>
      <c r="I17" s="84"/>
      <c r="J17" s="3"/>
      <c r="K17" s="20">
        <f t="shared" si="3"/>
        <v>511.82</v>
      </c>
      <c r="L17" s="3"/>
      <c r="M17" s="84">
        <v>460.40359614513943</v>
      </c>
      <c r="N17" s="84">
        <v>219.90815600543303</v>
      </c>
      <c r="O17" s="84">
        <v>59.18116551322683</v>
      </c>
      <c r="P17" s="84"/>
      <c r="Q17" s="84">
        <v>129.61645430437875</v>
      </c>
      <c r="R17" s="3">
        <v>157.04029493564454</v>
      </c>
      <c r="S17" s="84">
        <v>303.67508157687087</v>
      </c>
      <c r="T17" s="3">
        <v>139.31828471638315</v>
      </c>
      <c r="U17" s="3"/>
      <c r="V17" s="84">
        <v>7.2209890692710701</v>
      </c>
      <c r="W17" s="3">
        <v>0</v>
      </c>
      <c r="X17" s="20">
        <f t="shared" si="4"/>
        <v>1375.755753832223</v>
      </c>
      <c r="Y17" s="85">
        <v>1056.6457538322231</v>
      </c>
      <c r="Z17" s="84"/>
      <c r="AA17" s="3"/>
      <c r="AB17" s="20">
        <f t="shared" si="5"/>
        <v>319.11</v>
      </c>
      <c r="AC17" s="84"/>
      <c r="AD17" s="84">
        <v>21.848997261927863</v>
      </c>
      <c r="AE17" s="20">
        <f t="shared" si="6"/>
        <v>371177</v>
      </c>
      <c r="AG17" s="3">
        <f>SUM(AE17:AF19)</f>
        <v>379073</v>
      </c>
      <c r="AH17" s="55"/>
      <c r="AI17" s="55"/>
    </row>
    <row r="18" spans="1:35" ht="63" x14ac:dyDescent="0.25">
      <c r="A18" s="127" t="s">
        <v>44</v>
      </c>
      <c r="B18" s="17" t="s">
        <v>39</v>
      </c>
      <c r="C18" s="17" t="s">
        <v>40</v>
      </c>
      <c r="D18" s="17" t="s">
        <v>45</v>
      </c>
      <c r="E18" s="121">
        <v>334</v>
      </c>
      <c r="F18" s="20">
        <f t="shared" si="1"/>
        <v>23640.800542371471</v>
      </c>
      <c r="G18" s="20">
        <f t="shared" si="2"/>
        <v>17102.107485029937</v>
      </c>
      <c r="H18" s="3">
        <v>13135.257485029939</v>
      </c>
      <c r="I18" s="84"/>
      <c r="J18" s="3"/>
      <c r="K18" s="20">
        <f t="shared" si="3"/>
        <v>3966.85</v>
      </c>
      <c r="L18" s="3"/>
      <c r="M18" s="84">
        <v>1362.2754491017965</v>
      </c>
      <c r="N18" s="84">
        <v>0</v>
      </c>
      <c r="O18" s="84">
        <v>913.17365269461084</v>
      </c>
      <c r="P18" s="84"/>
      <c r="Q18" s="84">
        <v>335.32934131736522</v>
      </c>
      <c r="R18" s="3">
        <v>357.78443113772454</v>
      </c>
      <c r="S18" s="84">
        <v>2010.4895209580836</v>
      </c>
      <c r="T18" s="3">
        <v>0</v>
      </c>
      <c r="U18" s="3"/>
      <c r="V18" s="84">
        <v>61.82655688622755</v>
      </c>
      <c r="W18" s="3">
        <v>0</v>
      </c>
      <c r="X18" s="20">
        <f t="shared" si="4"/>
        <v>1477.6544246070068</v>
      </c>
      <c r="Y18" s="85">
        <v>1134.9144246070068</v>
      </c>
      <c r="Z18" s="84"/>
      <c r="AA18" s="3"/>
      <c r="AB18" s="20">
        <f t="shared" si="5"/>
        <v>342.74</v>
      </c>
      <c r="AC18" s="84"/>
      <c r="AD18" s="84">
        <v>933.33333333333337</v>
      </c>
      <c r="AE18" s="20">
        <f t="shared" si="6"/>
        <v>7896</v>
      </c>
      <c r="AF18" s="84"/>
      <c r="AG18" s="3"/>
      <c r="AH18" s="55"/>
      <c r="AI18" s="55"/>
    </row>
    <row r="19" spans="1:35" ht="47.25" x14ac:dyDescent="0.25">
      <c r="A19" s="127" t="s">
        <v>44</v>
      </c>
      <c r="B19" s="17" t="s">
        <v>41</v>
      </c>
      <c r="C19" s="17" t="s">
        <v>42</v>
      </c>
      <c r="D19" s="17" t="s">
        <v>38</v>
      </c>
      <c r="E19" s="121">
        <v>0</v>
      </c>
      <c r="F19" s="20">
        <f t="shared" si="1"/>
        <v>0</v>
      </c>
      <c r="G19" s="20">
        <f t="shared" si="2"/>
        <v>0</v>
      </c>
      <c r="H19" s="3"/>
      <c r="I19" s="84"/>
      <c r="J19" s="3"/>
      <c r="K19" s="20">
        <f t="shared" si="3"/>
        <v>0</v>
      </c>
      <c r="L19" s="3"/>
      <c r="M19" s="84"/>
      <c r="N19" s="84"/>
      <c r="O19" s="84"/>
      <c r="P19" s="84"/>
      <c r="Q19" s="84"/>
      <c r="R19" s="3"/>
      <c r="S19" s="84"/>
      <c r="T19" s="3"/>
      <c r="U19" s="3"/>
      <c r="V19" s="84"/>
      <c r="W19" s="3"/>
      <c r="X19" s="20">
        <f t="shared" si="4"/>
        <v>0</v>
      </c>
      <c r="Y19" s="85"/>
      <c r="Z19" s="84"/>
      <c r="AA19" s="3"/>
      <c r="AB19" s="20">
        <f t="shared" si="5"/>
        <v>0</v>
      </c>
      <c r="AC19" s="84"/>
      <c r="AD19" s="84"/>
      <c r="AE19" s="20">
        <f t="shared" si="6"/>
        <v>0</v>
      </c>
      <c r="AF19" s="84"/>
      <c r="AG19" s="3"/>
      <c r="AH19" s="55"/>
      <c r="AI19" s="55"/>
    </row>
    <row r="20" spans="1:35" ht="78.75" x14ac:dyDescent="0.25">
      <c r="A20" s="115" t="s">
        <v>46</v>
      </c>
      <c r="B20" s="116" t="s">
        <v>36</v>
      </c>
      <c r="C20" s="17" t="s">
        <v>37</v>
      </c>
      <c r="D20" s="116" t="s">
        <v>45</v>
      </c>
      <c r="E20" s="121">
        <v>26053</v>
      </c>
      <c r="F20" s="20">
        <f t="shared" si="1"/>
        <v>8597.4120702172804</v>
      </c>
      <c r="G20" s="20">
        <f t="shared" si="2"/>
        <v>4802.7958776218247</v>
      </c>
      <c r="H20" s="3">
        <v>3634.7495547415424</v>
      </c>
      <c r="I20" s="84"/>
      <c r="J20" s="3"/>
      <c r="K20" s="20">
        <f t="shared" si="3"/>
        <v>1097.69</v>
      </c>
      <c r="L20" s="3">
        <v>70.356322880282505</v>
      </c>
      <c r="M20" s="84">
        <v>750.09332393846023</v>
      </c>
      <c r="N20" s="84">
        <v>28.303778451617855</v>
      </c>
      <c r="O20" s="84">
        <v>41.417364602924806</v>
      </c>
      <c r="P20" s="84"/>
      <c r="Q20" s="84">
        <v>0</v>
      </c>
      <c r="R20" s="3">
        <v>290.96939392776267</v>
      </c>
      <c r="S20" s="84">
        <v>452.56977599573094</v>
      </c>
      <c r="T20" s="3">
        <v>610.10949073135964</v>
      </c>
      <c r="U20" s="3"/>
      <c r="V20" s="84">
        <v>9.9703992093041105</v>
      </c>
      <c r="W20" s="3">
        <v>0</v>
      </c>
      <c r="X20" s="20">
        <f t="shared" si="4"/>
        <v>1609.8641972317885</v>
      </c>
      <c r="Y20" s="85">
        <v>1236.4541972317884</v>
      </c>
      <c r="Z20" s="84"/>
      <c r="AA20" s="3"/>
      <c r="AB20" s="20">
        <f t="shared" si="5"/>
        <v>373.41</v>
      </c>
      <c r="AC20" s="84"/>
      <c r="AD20" s="84">
        <v>71.039611561048616</v>
      </c>
      <c r="AE20" s="20">
        <f t="shared" si="6"/>
        <v>223988.4</v>
      </c>
      <c r="AF20" s="84">
        <v>110.2</v>
      </c>
      <c r="AG20" s="3">
        <f>SUM(AE20:AF22)</f>
        <v>226353.1</v>
      </c>
      <c r="AH20" s="55"/>
      <c r="AI20" s="55"/>
    </row>
    <row r="21" spans="1:35" ht="63" x14ac:dyDescent="0.25">
      <c r="A21" s="115" t="s">
        <v>46</v>
      </c>
      <c r="B21" s="116" t="s">
        <v>39</v>
      </c>
      <c r="C21" s="17" t="s">
        <v>40</v>
      </c>
      <c r="D21" s="116" t="s">
        <v>45</v>
      </c>
      <c r="E21" s="121">
        <v>96</v>
      </c>
      <c r="F21" s="20">
        <f t="shared" si="1"/>
        <v>23484.619193104103</v>
      </c>
      <c r="G21" s="20">
        <f t="shared" si="2"/>
        <v>11807.49673355117</v>
      </c>
      <c r="H21" s="3">
        <v>8578.2246502178386</v>
      </c>
      <c r="I21" s="84"/>
      <c r="J21" s="3"/>
      <c r="K21" s="20">
        <f t="shared" si="3"/>
        <v>2590.62</v>
      </c>
      <c r="L21" s="3">
        <v>638.65208333333328</v>
      </c>
      <c r="M21" s="84">
        <v>427.68468732739586</v>
      </c>
      <c r="N21" s="84">
        <v>156.25</v>
      </c>
      <c r="O21" s="84">
        <v>0</v>
      </c>
      <c r="P21" s="84"/>
      <c r="Q21" s="84">
        <v>0</v>
      </c>
      <c r="R21" s="3">
        <v>2094.4065000000001</v>
      </c>
      <c r="S21" s="84">
        <v>0</v>
      </c>
      <c r="T21" s="3">
        <v>0</v>
      </c>
      <c r="U21" s="3"/>
      <c r="V21" s="84">
        <v>37.981250000000003</v>
      </c>
      <c r="W21" s="3">
        <v>0</v>
      </c>
      <c r="X21" s="20">
        <f t="shared" si="4"/>
        <v>8648.3000222255378</v>
      </c>
      <c r="Y21" s="85">
        <v>6642.3200222255373</v>
      </c>
      <c r="Z21" s="84"/>
      <c r="AA21" s="3"/>
      <c r="AB21" s="20">
        <f t="shared" si="5"/>
        <v>2005.98</v>
      </c>
      <c r="AC21" s="84"/>
      <c r="AD21" s="84">
        <v>468.75</v>
      </c>
      <c r="AE21" s="20">
        <f t="shared" si="6"/>
        <v>2254.5</v>
      </c>
      <c r="AF21" s="84">
        <v>0</v>
      </c>
      <c r="AG21" s="3"/>
      <c r="AH21" s="55"/>
      <c r="AI21" s="55"/>
    </row>
    <row r="22" spans="1:35" ht="47.25" x14ac:dyDescent="0.25">
      <c r="A22" s="115" t="s">
        <v>46</v>
      </c>
      <c r="B22" s="17" t="s">
        <v>41</v>
      </c>
      <c r="C22" s="17" t="s">
        <v>42</v>
      </c>
      <c r="D22" s="116" t="s">
        <v>38</v>
      </c>
      <c r="E22" s="121">
        <v>0</v>
      </c>
      <c r="F22" s="20">
        <f t="shared" si="1"/>
        <v>0</v>
      </c>
      <c r="G22" s="20">
        <f t="shared" si="2"/>
        <v>0</v>
      </c>
      <c r="H22" s="3">
        <v>0</v>
      </c>
      <c r="I22" s="84"/>
      <c r="J22" s="3"/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/>
      <c r="Q22" s="84">
        <v>0</v>
      </c>
      <c r="R22" s="3">
        <v>0</v>
      </c>
      <c r="S22" s="84">
        <v>0</v>
      </c>
      <c r="T22" s="3">
        <v>0</v>
      </c>
      <c r="U22" s="3"/>
      <c r="V22" s="84">
        <v>0</v>
      </c>
      <c r="W22" s="3">
        <v>0</v>
      </c>
      <c r="X22" s="20">
        <f t="shared" si="4"/>
        <v>0</v>
      </c>
      <c r="Y22" s="85">
        <v>0</v>
      </c>
      <c r="Z22" s="84"/>
      <c r="AA22" s="3"/>
      <c r="AB22" s="20">
        <f t="shared" si="5"/>
        <v>0</v>
      </c>
      <c r="AC22" s="84"/>
      <c r="AD22" s="84">
        <v>0</v>
      </c>
      <c r="AE22" s="20">
        <f t="shared" si="6"/>
        <v>0</v>
      </c>
      <c r="AF22" s="84">
        <v>0</v>
      </c>
      <c r="AG22" s="3"/>
      <c r="AH22" s="55"/>
      <c r="AI22" s="55"/>
    </row>
    <row r="23" spans="1:35" ht="78.75" x14ac:dyDescent="0.25">
      <c r="A23" s="115" t="s">
        <v>47</v>
      </c>
      <c r="B23" s="17" t="s">
        <v>36</v>
      </c>
      <c r="C23" s="17" t="s">
        <v>37</v>
      </c>
      <c r="D23" s="28" t="s">
        <v>38</v>
      </c>
      <c r="E23" s="119">
        <v>43300</v>
      </c>
      <c r="F23" s="20">
        <f t="shared" ref="F23:F25" si="7">SUM(G23,M23,Q23,R23,S23,T23,V23,W23,X23,AD23,P23,U23)</f>
        <v>5934.2105495263067</v>
      </c>
      <c r="G23" s="20">
        <f t="shared" ref="G23:G25" si="8">SUM(H23:L23)</f>
        <v>3449.4394919168594</v>
      </c>
      <c r="H23" s="20">
        <v>2649.3394919168595</v>
      </c>
      <c r="I23" s="25"/>
      <c r="J23" s="25"/>
      <c r="K23" s="20">
        <f t="shared" ref="K23:K43" si="9">ROUND(H23*0.302,2)</f>
        <v>800.1</v>
      </c>
      <c r="L23" s="25">
        <v>0</v>
      </c>
      <c r="M23" s="21">
        <v>978.03060046189375</v>
      </c>
      <c r="N23" s="25">
        <v>80.502309468822176</v>
      </c>
      <c r="O23" s="25">
        <v>15.578290993071592</v>
      </c>
      <c r="P23" s="26">
        <v>0</v>
      </c>
      <c r="Q23" s="25">
        <v>113.85681293302541</v>
      </c>
      <c r="R23" s="25">
        <v>74.644087256027547</v>
      </c>
      <c r="S23" s="25">
        <v>258.84500574052817</v>
      </c>
      <c r="T23" s="25">
        <v>9.4688221709006921</v>
      </c>
      <c r="U23" s="20">
        <v>0</v>
      </c>
      <c r="V23" s="25">
        <v>10.195177956371987</v>
      </c>
      <c r="W23" s="25">
        <v>40.367393800229621</v>
      </c>
      <c r="X23" s="20">
        <f t="shared" ref="X23:X43" si="10">SUM(Y23:AC23)</f>
        <v>976.97509758897831</v>
      </c>
      <c r="Y23" s="27">
        <v>750.3650975889783</v>
      </c>
      <c r="Z23" s="27"/>
      <c r="AA23" s="27"/>
      <c r="AB23" s="20">
        <f t="shared" ref="AB23:AB43" si="11">ROUND(Y23*0.302,2)</f>
        <v>226.61</v>
      </c>
      <c r="AC23" s="25">
        <v>0</v>
      </c>
      <c r="AD23" s="25">
        <v>22.388059701492537</v>
      </c>
      <c r="AE23" s="20">
        <f t="shared" ref="AE23:AE43" si="12">ROUND(E23*F23/1000,1)</f>
        <v>256951.3</v>
      </c>
      <c r="AF23" s="27">
        <v>247.7</v>
      </c>
      <c r="AG23" s="237">
        <f>ROUND(AE23+AE24+AE25+AF23,1)</f>
        <v>264002.90000000002</v>
      </c>
      <c r="AH23" s="47">
        <f t="shared" ref="AH23:AH25" si="13">(G23+X23)*E23/1000</f>
        <v>191663.75172560275</v>
      </c>
      <c r="AI23" s="55">
        <v>80329.582241999989</v>
      </c>
    </row>
    <row r="24" spans="1:35" ht="63" x14ac:dyDescent="0.25">
      <c r="A24" s="115" t="s">
        <v>47</v>
      </c>
      <c r="B24" s="17" t="s">
        <v>39</v>
      </c>
      <c r="C24" s="17" t="s">
        <v>40</v>
      </c>
      <c r="D24" s="28" t="s">
        <v>38</v>
      </c>
      <c r="E24" s="119">
        <v>220</v>
      </c>
      <c r="F24" s="20">
        <f t="shared" si="7"/>
        <v>16271.82218567999</v>
      </c>
      <c r="G24" s="20">
        <f t="shared" si="8"/>
        <v>12058.88818181818</v>
      </c>
      <c r="H24" s="20">
        <v>9261.8181818181802</v>
      </c>
      <c r="I24" s="25"/>
      <c r="J24" s="25"/>
      <c r="K24" s="20">
        <f t="shared" si="9"/>
        <v>2797.07</v>
      </c>
      <c r="L24" s="25">
        <v>0</v>
      </c>
      <c r="M24" s="25">
        <v>872.69999999999993</v>
      </c>
      <c r="N24" s="25"/>
      <c r="O24" s="25"/>
      <c r="P24" s="26">
        <v>0</v>
      </c>
      <c r="Q24" s="25">
        <v>1956.8181818181818</v>
      </c>
      <c r="R24" s="25">
        <v>74.644087256027547</v>
      </c>
      <c r="S24" s="25">
        <v>258.8460057405282</v>
      </c>
      <c r="T24" s="25"/>
      <c r="U24" s="20">
        <v>0</v>
      </c>
      <c r="V24" s="25">
        <v>10.195177956371987</v>
      </c>
      <c r="W24" s="25">
        <v>40.367393800229621</v>
      </c>
      <c r="X24" s="20">
        <f t="shared" si="10"/>
        <v>976.9750975889782</v>
      </c>
      <c r="Y24" s="27">
        <v>750.36509758897819</v>
      </c>
      <c r="Z24" s="27"/>
      <c r="AA24" s="27"/>
      <c r="AB24" s="20">
        <f t="shared" si="11"/>
        <v>226.61</v>
      </c>
      <c r="AC24" s="25">
        <v>0</v>
      </c>
      <c r="AD24" s="25">
        <v>22.388059701492537</v>
      </c>
      <c r="AE24" s="20">
        <f t="shared" si="12"/>
        <v>3579.8</v>
      </c>
      <c r="AF24" s="27">
        <v>0</v>
      </c>
      <c r="AG24" s="237"/>
      <c r="AH24" s="47">
        <f t="shared" si="13"/>
        <v>2867.8899214695748</v>
      </c>
      <c r="AI24" s="55">
        <v>2678.9424660000004</v>
      </c>
    </row>
    <row r="25" spans="1:35" ht="45" x14ac:dyDescent="0.25">
      <c r="A25" s="115" t="s">
        <v>47</v>
      </c>
      <c r="B25" s="17" t="s">
        <v>41</v>
      </c>
      <c r="C25" s="117" t="s">
        <v>42</v>
      </c>
      <c r="D25" s="28" t="s">
        <v>38</v>
      </c>
      <c r="E25" s="119">
        <v>30</v>
      </c>
      <c r="F25" s="20">
        <f t="shared" si="7"/>
        <v>107471.63382204363</v>
      </c>
      <c r="G25" s="20">
        <f t="shared" si="8"/>
        <v>84734.16</v>
      </c>
      <c r="H25" s="20">
        <v>65080</v>
      </c>
      <c r="I25" s="20"/>
      <c r="J25" s="20"/>
      <c r="K25" s="20">
        <f t="shared" si="9"/>
        <v>19654.16</v>
      </c>
      <c r="L25" s="20">
        <v>0</v>
      </c>
      <c r="M25" s="20">
        <v>204.06</v>
      </c>
      <c r="N25" s="20"/>
      <c r="O25" s="20"/>
      <c r="P25" s="20">
        <v>0</v>
      </c>
      <c r="Q25" s="20">
        <v>21149.998</v>
      </c>
      <c r="R25" s="20">
        <v>74.644087256027532</v>
      </c>
      <c r="S25" s="20">
        <v>258.84600574052814</v>
      </c>
      <c r="T25" s="20"/>
      <c r="U25" s="20">
        <v>0</v>
      </c>
      <c r="V25" s="20">
        <v>10.195177956371985</v>
      </c>
      <c r="W25" s="27">
        <v>40.367393800229628</v>
      </c>
      <c r="X25" s="20">
        <f t="shared" si="10"/>
        <v>976.9750975889782</v>
      </c>
      <c r="Y25" s="27">
        <v>750.36509758897819</v>
      </c>
      <c r="Z25" s="20"/>
      <c r="AA25" s="20"/>
      <c r="AB25" s="20">
        <f t="shared" si="11"/>
        <v>226.61</v>
      </c>
      <c r="AC25" s="25">
        <v>0</v>
      </c>
      <c r="AD25" s="25">
        <v>22.388059701492541</v>
      </c>
      <c r="AE25" s="20">
        <f t="shared" si="12"/>
        <v>3224.1</v>
      </c>
      <c r="AF25" s="20">
        <v>0</v>
      </c>
      <c r="AG25" s="237"/>
      <c r="AH25" s="47">
        <f t="shared" si="13"/>
        <v>2571.3340529276697</v>
      </c>
      <c r="AI25" s="55">
        <v>2332.5985570000003</v>
      </c>
    </row>
    <row r="26" spans="1:35" ht="78.75" x14ac:dyDescent="0.25">
      <c r="A26" s="115" t="s">
        <v>48</v>
      </c>
      <c r="B26" s="17" t="s">
        <v>49</v>
      </c>
      <c r="C26" s="17" t="s">
        <v>37</v>
      </c>
      <c r="D26" s="18" t="s">
        <v>38</v>
      </c>
      <c r="E26" s="121">
        <v>57470</v>
      </c>
      <c r="F26" s="20">
        <f t="shared" ref="F26:F43" si="14">SUM(G26,M26,Q26,R26,S26,T26,V26,W26,X26,AD26,P26,U26)</f>
        <v>4658.46</v>
      </c>
      <c r="G26" s="20">
        <f t="shared" ref="G26:G43" si="15">SUM(H26:L26)</f>
        <v>2225.4</v>
      </c>
      <c r="H26" s="3">
        <v>1709.22</v>
      </c>
      <c r="I26" s="84"/>
      <c r="J26" s="3"/>
      <c r="K26" s="20">
        <f t="shared" si="9"/>
        <v>516.17999999999995</v>
      </c>
      <c r="L26" s="3"/>
      <c r="M26" s="84">
        <v>376.81</v>
      </c>
      <c r="N26" s="84">
        <v>0</v>
      </c>
      <c r="O26" s="84">
        <v>46.11</v>
      </c>
      <c r="P26" s="84">
        <v>0</v>
      </c>
      <c r="Q26" s="84">
        <v>160.76</v>
      </c>
      <c r="R26" s="3">
        <v>50.62</v>
      </c>
      <c r="S26" s="84">
        <v>418.69</v>
      </c>
      <c r="T26" s="3">
        <v>20.2</v>
      </c>
      <c r="U26" s="3">
        <v>0</v>
      </c>
      <c r="V26" s="84">
        <v>14.62</v>
      </c>
      <c r="W26" s="3">
        <v>0</v>
      </c>
      <c r="X26" s="20">
        <f t="shared" si="10"/>
        <v>1221.8600000000001</v>
      </c>
      <c r="Y26" s="85">
        <v>938.45</v>
      </c>
      <c r="Z26" s="84"/>
      <c r="AA26" s="3"/>
      <c r="AB26" s="20">
        <f t="shared" si="11"/>
        <v>283.41000000000003</v>
      </c>
      <c r="AC26" s="84"/>
      <c r="AD26" s="84">
        <v>169.5</v>
      </c>
      <c r="AE26" s="20">
        <f t="shared" si="12"/>
        <v>267721.7</v>
      </c>
      <c r="AF26" s="84">
        <v>640.5</v>
      </c>
      <c r="AG26" s="237">
        <f>ROUND(AE26+AE27+AE28+AF26,1)</f>
        <v>269873.8</v>
      </c>
      <c r="AH26" s="55"/>
      <c r="AI26" s="55"/>
    </row>
    <row r="27" spans="1:35" ht="63" x14ac:dyDescent="0.25">
      <c r="A27" s="115" t="s">
        <v>48</v>
      </c>
      <c r="B27" s="17" t="s">
        <v>50</v>
      </c>
      <c r="C27" s="17" t="s">
        <v>40</v>
      </c>
      <c r="D27" s="18" t="s">
        <v>38</v>
      </c>
      <c r="E27" s="121">
        <v>117</v>
      </c>
      <c r="F27" s="20">
        <f t="shared" si="14"/>
        <v>8386.07</v>
      </c>
      <c r="G27" s="20">
        <f t="shared" si="15"/>
        <v>6227.21</v>
      </c>
      <c r="H27" s="3">
        <v>4782.8</v>
      </c>
      <c r="I27" s="84"/>
      <c r="J27" s="3"/>
      <c r="K27" s="20">
        <f t="shared" si="9"/>
        <v>1444.41</v>
      </c>
      <c r="L27" s="3"/>
      <c r="M27" s="84">
        <v>1302.58</v>
      </c>
      <c r="N27" s="84">
        <v>0</v>
      </c>
      <c r="O27" s="84">
        <v>0</v>
      </c>
      <c r="P27" s="84">
        <v>0</v>
      </c>
      <c r="Q27" s="84">
        <v>0</v>
      </c>
      <c r="R27" s="3">
        <v>0</v>
      </c>
      <c r="S27" s="84">
        <v>0</v>
      </c>
      <c r="T27" s="3">
        <v>0</v>
      </c>
      <c r="U27" s="3">
        <v>0</v>
      </c>
      <c r="V27" s="84">
        <v>0</v>
      </c>
      <c r="W27" s="3">
        <v>0</v>
      </c>
      <c r="X27" s="20">
        <f t="shared" si="10"/>
        <v>0</v>
      </c>
      <c r="Y27" s="85">
        <v>0</v>
      </c>
      <c r="Z27" s="84"/>
      <c r="AA27" s="3"/>
      <c r="AB27" s="20">
        <f t="shared" si="11"/>
        <v>0</v>
      </c>
      <c r="AC27" s="84"/>
      <c r="AD27" s="84">
        <v>856.28</v>
      </c>
      <c r="AE27" s="20">
        <f t="shared" si="12"/>
        <v>981.2</v>
      </c>
      <c r="AF27" s="84"/>
      <c r="AG27" s="237"/>
      <c r="AH27" s="55"/>
      <c r="AI27" s="55"/>
    </row>
    <row r="28" spans="1:35" ht="45" x14ac:dyDescent="0.25">
      <c r="A28" s="115" t="s">
        <v>48</v>
      </c>
      <c r="B28" s="17" t="s">
        <v>41</v>
      </c>
      <c r="C28" s="117" t="s">
        <v>42</v>
      </c>
      <c r="D28" s="28" t="s">
        <v>38</v>
      </c>
      <c r="E28" s="121">
        <v>6</v>
      </c>
      <c r="F28" s="20">
        <f t="shared" si="14"/>
        <v>88406.28</v>
      </c>
      <c r="G28" s="20">
        <f t="shared" si="15"/>
        <v>65420.659999999996</v>
      </c>
      <c r="H28" s="3">
        <v>50246.28</v>
      </c>
      <c r="I28" s="84"/>
      <c r="J28" s="3"/>
      <c r="K28" s="20">
        <f t="shared" si="9"/>
        <v>15174.38</v>
      </c>
      <c r="L28" s="3"/>
      <c r="M28" s="84">
        <v>8833.33</v>
      </c>
      <c r="N28" s="84">
        <v>0</v>
      </c>
      <c r="O28" s="84">
        <v>8833.33</v>
      </c>
      <c r="P28" s="84">
        <v>0</v>
      </c>
      <c r="Q28" s="84">
        <v>500</v>
      </c>
      <c r="R28" s="3">
        <v>0</v>
      </c>
      <c r="S28" s="84">
        <v>0</v>
      </c>
      <c r="T28" s="3">
        <v>1066.69</v>
      </c>
      <c r="U28" s="3">
        <v>0</v>
      </c>
      <c r="V28" s="84">
        <v>0</v>
      </c>
      <c r="W28" s="3">
        <v>0</v>
      </c>
      <c r="X28" s="20">
        <f t="shared" si="10"/>
        <v>0</v>
      </c>
      <c r="Y28" s="85">
        <v>0</v>
      </c>
      <c r="Z28" s="84"/>
      <c r="AA28" s="3"/>
      <c r="AB28" s="20">
        <f t="shared" si="11"/>
        <v>0</v>
      </c>
      <c r="AC28" s="84"/>
      <c r="AD28" s="84">
        <v>12585.6</v>
      </c>
      <c r="AE28" s="20">
        <f t="shared" si="12"/>
        <v>530.4</v>
      </c>
      <c r="AF28" s="84"/>
      <c r="AG28" s="237"/>
      <c r="AH28" s="55"/>
      <c r="AI28" s="55"/>
    </row>
    <row r="29" spans="1:35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21">
        <v>87750</v>
      </c>
      <c r="F29" s="20">
        <f t="shared" si="14"/>
        <v>3291.3182300000003</v>
      </c>
      <c r="G29" s="20">
        <f t="shared" si="15"/>
        <v>1894.96541</v>
      </c>
      <c r="H29" s="3">
        <v>1455.4254100000001</v>
      </c>
      <c r="I29" s="84"/>
      <c r="J29" s="3"/>
      <c r="K29" s="20">
        <f t="shared" si="9"/>
        <v>439.54</v>
      </c>
      <c r="L29" s="3"/>
      <c r="M29" s="84">
        <v>208.02619999999999</v>
      </c>
      <c r="N29" s="84">
        <v>13.73</v>
      </c>
      <c r="O29" s="84">
        <v>39.970199999999998</v>
      </c>
      <c r="P29" s="84"/>
      <c r="Q29" s="84">
        <v>104.17</v>
      </c>
      <c r="R29" s="3">
        <v>239.42000000000002</v>
      </c>
      <c r="S29" s="84">
        <v>209.89</v>
      </c>
      <c r="T29" s="3">
        <v>38.17</v>
      </c>
      <c r="U29" s="3"/>
      <c r="V29" s="84">
        <v>29.96</v>
      </c>
      <c r="W29" s="3">
        <v>0</v>
      </c>
      <c r="X29" s="20">
        <f t="shared" si="10"/>
        <v>542.50184999999999</v>
      </c>
      <c r="Y29" s="85">
        <v>416.67185000000001</v>
      </c>
      <c r="Z29" s="84"/>
      <c r="AA29" s="3"/>
      <c r="AB29" s="20">
        <f t="shared" si="11"/>
        <v>125.83</v>
      </c>
      <c r="AC29" s="84"/>
      <c r="AD29" s="84">
        <v>24.214769999999998</v>
      </c>
      <c r="AE29" s="20">
        <f t="shared" si="12"/>
        <v>288813.2</v>
      </c>
      <c r="AF29" s="84">
        <v>28.745609999999999</v>
      </c>
      <c r="AG29" s="3"/>
      <c r="AH29" s="55"/>
      <c r="AI29" s="55"/>
    </row>
    <row r="30" spans="1:35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21">
        <v>80</v>
      </c>
      <c r="F30" s="20">
        <f t="shared" si="14"/>
        <v>14014.882250000001</v>
      </c>
      <c r="G30" s="20">
        <f t="shared" si="15"/>
        <v>9469.98</v>
      </c>
      <c r="H30" s="3">
        <v>7273.41</v>
      </c>
      <c r="I30" s="84"/>
      <c r="J30" s="3"/>
      <c r="K30" s="20">
        <f t="shared" si="9"/>
        <v>2196.5700000000002</v>
      </c>
      <c r="L30" s="3"/>
      <c r="M30" s="84">
        <v>804.01</v>
      </c>
      <c r="N30" s="84">
        <v>0</v>
      </c>
      <c r="O30" s="84">
        <v>625.04999999999995</v>
      </c>
      <c r="P30" s="84"/>
      <c r="Q30" s="84">
        <v>91.06</v>
      </c>
      <c r="R30" s="3">
        <v>455.75</v>
      </c>
      <c r="S30" s="84">
        <v>492.79999999999995</v>
      </c>
      <c r="T30" s="3">
        <v>687.78</v>
      </c>
      <c r="U30" s="3"/>
      <c r="V30" s="84">
        <v>669.4</v>
      </c>
      <c r="W30" s="3">
        <v>0</v>
      </c>
      <c r="X30" s="20">
        <f t="shared" si="10"/>
        <v>916.54000000000008</v>
      </c>
      <c r="Y30" s="85">
        <v>703.95</v>
      </c>
      <c r="Z30" s="84"/>
      <c r="AA30" s="3"/>
      <c r="AB30" s="20">
        <f t="shared" si="11"/>
        <v>212.59</v>
      </c>
      <c r="AC30" s="84"/>
      <c r="AD30" s="84">
        <v>427.56225000000001</v>
      </c>
      <c r="AE30" s="20">
        <f t="shared" si="12"/>
        <v>1121.2</v>
      </c>
      <c r="AF30" s="84"/>
      <c r="AG30" s="3"/>
      <c r="AH30" s="55"/>
      <c r="AI30" s="55"/>
    </row>
    <row r="31" spans="1:35" ht="56.25" x14ac:dyDescent="0.25">
      <c r="A31" s="23" t="s">
        <v>51</v>
      </c>
      <c r="B31" s="17" t="s">
        <v>41</v>
      </c>
      <c r="C31" s="117" t="s">
        <v>42</v>
      </c>
      <c r="D31" s="28" t="s">
        <v>38</v>
      </c>
      <c r="E31" s="121">
        <v>0</v>
      </c>
      <c r="F31" s="20">
        <f t="shared" si="14"/>
        <v>0</v>
      </c>
      <c r="G31" s="20">
        <f t="shared" si="15"/>
        <v>0</v>
      </c>
      <c r="H31" s="3"/>
      <c r="I31" s="84"/>
      <c r="J31" s="3"/>
      <c r="K31" s="20">
        <f t="shared" si="9"/>
        <v>0</v>
      </c>
      <c r="L31" s="3"/>
      <c r="M31" s="84"/>
      <c r="N31" s="84"/>
      <c r="O31" s="84"/>
      <c r="P31" s="84"/>
      <c r="Q31" s="84"/>
      <c r="R31" s="3"/>
      <c r="S31" s="84"/>
      <c r="T31" s="3"/>
      <c r="U31" s="3"/>
      <c r="V31" s="84"/>
      <c r="W31" s="3"/>
      <c r="X31" s="20">
        <f t="shared" si="10"/>
        <v>0</v>
      </c>
      <c r="Y31" s="85"/>
      <c r="Z31" s="84"/>
      <c r="AA31" s="3"/>
      <c r="AB31" s="20">
        <f t="shared" si="11"/>
        <v>0</v>
      </c>
      <c r="AC31" s="84"/>
      <c r="AD31" s="84"/>
      <c r="AE31" s="20">
        <f t="shared" si="12"/>
        <v>0</v>
      </c>
      <c r="AF31" s="84"/>
      <c r="AG31" s="3"/>
      <c r="AH31" s="55"/>
      <c r="AI31" s="55"/>
    </row>
    <row r="32" spans="1:35" ht="78.75" x14ac:dyDescent="0.25">
      <c r="A32" s="115" t="s">
        <v>52</v>
      </c>
      <c r="B32" s="17" t="s">
        <v>36</v>
      </c>
      <c r="C32" s="17" t="s">
        <v>37</v>
      </c>
      <c r="D32" s="17" t="s">
        <v>53</v>
      </c>
      <c r="E32" s="121">
        <v>786</v>
      </c>
      <c r="F32" s="20">
        <f t="shared" si="14"/>
        <v>6904.3300000000008</v>
      </c>
      <c r="G32" s="20">
        <f t="shared" si="15"/>
        <v>2320.0100000000002</v>
      </c>
      <c r="H32" s="3">
        <v>1781.88</v>
      </c>
      <c r="I32" s="84"/>
      <c r="J32" s="3"/>
      <c r="K32" s="20">
        <f t="shared" si="9"/>
        <v>538.13</v>
      </c>
      <c r="L32" s="3"/>
      <c r="M32" s="84">
        <v>469.07</v>
      </c>
      <c r="N32" s="84">
        <v>0</v>
      </c>
      <c r="O32" s="84">
        <v>0</v>
      </c>
      <c r="P32" s="84">
        <v>0</v>
      </c>
      <c r="Q32" s="84">
        <v>874.46</v>
      </c>
      <c r="R32" s="3">
        <v>75.7</v>
      </c>
      <c r="S32" s="84">
        <v>1227.6300000000001</v>
      </c>
      <c r="T32" s="3">
        <v>0</v>
      </c>
      <c r="U32" s="3">
        <v>0</v>
      </c>
      <c r="V32" s="84">
        <v>11.16</v>
      </c>
      <c r="W32" s="3">
        <v>12.21</v>
      </c>
      <c r="X32" s="20">
        <f t="shared" si="10"/>
        <v>1802.23</v>
      </c>
      <c r="Y32" s="85">
        <v>1384.2</v>
      </c>
      <c r="Z32" s="84"/>
      <c r="AA32" s="3"/>
      <c r="AB32" s="20">
        <f t="shared" si="11"/>
        <v>418.03</v>
      </c>
      <c r="AC32" s="84"/>
      <c r="AD32" s="84">
        <v>111.86</v>
      </c>
      <c r="AE32" s="20">
        <f t="shared" si="12"/>
        <v>5426.8</v>
      </c>
      <c r="AF32" s="84">
        <v>0</v>
      </c>
      <c r="AG32" s="3">
        <f>SUM(AE32:AF33)</f>
        <v>11656.7</v>
      </c>
      <c r="AH32" s="55"/>
      <c r="AI32" s="55"/>
    </row>
    <row r="33" spans="1:35" ht="63" x14ac:dyDescent="0.25">
      <c r="A33" s="115" t="s">
        <v>52</v>
      </c>
      <c r="B33" s="17" t="s">
        <v>39</v>
      </c>
      <c r="C33" s="17" t="s">
        <v>40</v>
      </c>
      <c r="D33" s="17" t="s">
        <v>53</v>
      </c>
      <c r="E33" s="121">
        <v>42</v>
      </c>
      <c r="F33" s="20">
        <f t="shared" si="14"/>
        <v>148330.53</v>
      </c>
      <c r="G33" s="20">
        <f t="shared" si="15"/>
        <v>53880.11</v>
      </c>
      <c r="H33" s="3">
        <v>41382.57</v>
      </c>
      <c r="I33" s="84"/>
      <c r="J33" s="3"/>
      <c r="K33" s="20">
        <f t="shared" si="9"/>
        <v>12497.54</v>
      </c>
      <c r="L33" s="3"/>
      <c r="M33" s="84">
        <v>97.79</v>
      </c>
      <c r="N33" s="84">
        <v>0</v>
      </c>
      <c r="O33" s="84">
        <v>0</v>
      </c>
      <c r="P33" s="84">
        <v>0</v>
      </c>
      <c r="Q33" s="84">
        <v>1204</v>
      </c>
      <c r="R33" s="3">
        <v>1155.18</v>
      </c>
      <c r="S33" s="84">
        <v>16963.39</v>
      </c>
      <c r="T33" s="3">
        <v>50220.58</v>
      </c>
      <c r="U33" s="3">
        <v>0</v>
      </c>
      <c r="V33" s="84">
        <v>1907.38</v>
      </c>
      <c r="W33" s="3">
        <v>309.08</v>
      </c>
      <c r="X33" s="20">
        <f t="shared" si="10"/>
        <v>22593.02</v>
      </c>
      <c r="Y33" s="85">
        <v>17352.55</v>
      </c>
      <c r="Z33" s="84"/>
      <c r="AA33" s="3"/>
      <c r="AB33" s="20">
        <f t="shared" si="11"/>
        <v>5240.47</v>
      </c>
      <c r="AC33" s="84"/>
      <c r="AD33" s="84">
        <v>0</v>
      </c>
      <c r="AE33" s="20">
        <f t="shared" si="12"/>
        <v>6229.9</v>
      </c>
      <c r="AF33" s="84"/>
      <c r="AG33" s="3"/>
      <c r="AH33" s="55"/>
      <c r="AI33" s="55"/>
    </row>
    <row r="34" spans="1:35" ht="78.75" x14ac:dyDescent="0.25">
      <c r="A34" s="115" t="s">
        <v>54</v>
      </c>
      <c r="B34" s="17" t="s">
        <v>49</v>
      </c>
      <c r="C34" s="17" t="s">
        <v>37</v>
      </c>
      <c r="D34" s="17" t="s">
        <v>45</v>
      </c>
      <c r="E34" s="121">
        <v>5286</v>
      </c>
      <c r="F34" s="20">
        <f t="shared" si="14"/>
        <v>2175.9700000000003</v>
      </c>
      <c r="G34" s="20">
        <f t="shared" si="15"/>
        <v>734</v>
      </c>
      <c r="H34" s="3">
        <v>563.75</v>
      </c>
      <c r="I34" s="84"/>
      <c r="J34" s="3"/>
      <c r="K34" s="20">
        <f t="shared" si="9"/>
        <v>170.25</v>
      </c>
      <c r="L34" s="3"/>
      <c r="M34" s="84">
        <v>88.35</v>
      </c>
      <c r="N34" s="84">
        <v>0</v>
      </c>
      <c r="O34" s="84">
        <v>89.35</v>
      </c>
      <c r="P34" s="84"/>
      <c r="Q34" s="84">
        <v>81.81</v>
      </c>
      <c r="R34" s="3">
        <v>34.53</v>
      </c>
      <c r="S34" s="84">
        <v>86.22</v>
      </c>
      <c r="T34" s="3">
        <v>85</v>
      </c>
      <c r="U34" s="3"/>
      <c r="V34" s="84">
        <v>13.5</v>
      </c>
      <c r="W34" s="3">
        <v>3.53</v>
      </c>
      <c r="X34" s="20">
        <f t="shared" si="10"/>
        <v>560.13</v>
      </c>
      <c r="Y34" s="85">
        <v>430.21</v>
      </c>
      <c r="Z34" s="84"/>
      <c r="AA34" s="3"/>
      <c r="AB34" s="20">
        <f t="shared" si="11"/>
        <v>129.91999999999999</v>
      </c>
      <c r="AC34" s="84"/>
      <c r="AD34" s="84">
        <v>488.9</v>
      </c>
      <c r="AE34" s="20">
        <f t="shared" si="12"/>
        <v>11502.2</v>
      </c>
      <c r="AF34" s="84">
        <v>98.95</v>
      </c>
      <c r="AG34" s="3">
        <f>SUM(AE34:AF35)</f>
        <v>12214.850000000002</v>
      </c>
      <c r="AH34" s="55"/>
      <c r="AI34" s="55"/>
    </row>
    <row r="35" spans="1:35" ht="63" x14ac:dyDescent="0.25">
      <c r="A35" s="115" t="s">
        <v>54</v>
      </c>
      <c r="B35" s="17" t="s">
        <v>50</v>
      </c>
      <c r="C35" s="17" t="s">
        <v>40</v>
      </c>
      <c r="D35" s="17" t="s">
        <v>45</v>
      </c>
      <c r="E35" s="121">
        <v>10</v>
      </c>
      <c r="F35" s="20">
        <f t="shared" si="14"/>
        <v>61370.610000000008</v>
      </c>
      <c r="G35" s="20">
        <f t="shared" si="15"/>
        <v>30901.210000000003</v>
      </c>
      <c r="H35" s="3">
        <v>23733.65</v>
      </c>
      <c r="I35" s="84"/>
      <c r="J35" s="3"/>
      <c r="K35" s="20">
        <f t="shared" si="9"/>
        <v>7167.56</v>
      </c>
      <c r="L35" s="3"/>
      <c r="M35" s="84">
        <v>730.23</v>
      </c>
      <c r="N35" s="84">
        <v>0</v>
      </c>
      <c r="O35" s="84">
        <v>730.23</v>
      </c>
      <c r="P35" s="84"/>
      <c r="Q35" s="84">
        <v>1483.8</v>
      </c>
      <c r="R35" s="3">
        <v>1765.7</v>
      </c>
      <c r="S35" s="84">
        <v>2723.86</v>
      </c>
      <c r="T35" s="3">
        <v>8000</v>
      </c>
      <c r="U35" s="3"/>
      <c r="V35" s="84">
        <v>1619.01</v>
      </c>
      <c r="W35" s="3">
        <v>1033.3499999999999</v>
      </c>
      <c r="X35" s="20">
        <f t="shared" si="10"/>
        <v>10676.4</v>
      </c>
      <c r="Y35" s="85">
        <v>8200</v>
      </c>
      <c r="Z35" s="84"/>
      <c r="AA35" s="3"/>
      <c r="AB35" s="20">
        <f t="shared" si="11"/>
        <v>2476.4</v>
      </c>
      <c r="AC35" s="84"/>
      <c r="AD35" s="84">
        <v>2437.0500000000002</v>
      </c>
      <c r="AE35" s="20">
        <f t="shared" si="12"/>
        <v>613.70000000000005</v>
      </c>
      <c r="AF35" s="84"/>
      <c r="AG35" s="3"/>
      <c r="AH35" s="55"/>
      <c r="AI35" s="55"/>
    </row>
    <row r="36" spans="1:35" ht="78.75" x14ac:dyDescent="0.25">
      <c r="A36" s="123" t="s">
        <v>55</v>
      </c>
      <c r="B36" s="17" t="s">
        <v>56</v>
      </c>
      <c r="C36" s="17" t="s">
        <v>37</v>
      </c>
      <c r="D36" s="18" t="s">
        <v>53</v>
      </c>
      <c r="E36" s="83">
        <v>4013</v>
      </c>
      <c r="F36" s="120">
        <v>2602.88</v>
      </c>
      <c r="G36" s="20">
        <f t="shared" si="15"/>
        <v>0</v>
      </c>
      <c r="H36" s="3"/>
      <c r="I36" s="84"/>
      <c r="J36" s="3"/>
      <c r="K36" s="20">
        <f t="shared" si="9"/>
        <v>0</v>
      </c>
      <c r="L36" s="3"/>
      <c r="M36" s="84"/>
      <c r="N36" s="84"/>
      <c r="O36" s="84"/>
      <c r="P36" s="84"/>
      <c r="Q36" s="84"/>
      <c r="R36" s="3"/>
      <c r="S36" s="84"/>
      <c r="T36" s="3"/>
      <c r="U36" s="3"/>
      <c r="V36" s="84"/>
      <c r="W36" s="3"/>
      <c r="X36" s="20">
        <f t="shared" si="10"/>
        <v>0</v>
      </c>
      <c r="Y36" s="85"/>
      <c r="Z36" s="84"/>
      <c r="AA36" s="3"/>
      <c r="AB36" s="20">
        <f t="shared" si="11"/>
        <v>0</v>
      </c>
      <c r="AC36" s="84"/>
      <c r="AD36" s="84"/>
      <c r="AE36" s="20">
        <f t="shared" si="12"/>
        <v>10445.4</v>
      </c>
      <c r="AF36" s="84"/>
      <c r="AG36" s="3"/>
      <c r="AH36" s="55"/>
      <c r="AI36" s="55"/>
    </row>
    <row r="37" spans="1:35" ht="63" x14ac:dyDescent="0.25">
      <c r="A37" s="123" t="s">
        <v>55</v>
      </c>
      <c r="B37" s="33" t="s">
        <v>57</v>
      </c>
      <c r="C37" s="17" t="s">
        <v>40</v>
      </c>
      <c r="D37" s="18" t="s">
        <v>45</v>
      </c>
      <c r="E37" s="83">
        <v>18</v>
      </c>
      <c r="F37" s="120">
        <v>18550.95</v>
      </c>
      <c r="G37" s="20">
        <f t="shared" si="15"/>
        <v>0</v>
      </c>
      <c r="H37" s="3"/>
      <c r="I37" s="84"/>
      <c r="J37" s="3"/>
      <c r="K37" s="20">
        <f t="shared" si="9"/>
        <v>0</v>
      </c>
      <c r="L37" s="3"/>
      <c r="M37" s="84"/>
      <c r="N37" s="84"/>
      <c r="O37" s="84"/>
      <c r="P37" s="84"/>
      <c r="Q37" s="84"/>
      <c r="R37" s="3"/>
      <c r="S37" s="84"/>
      <c r="T37" s="3"/>
      <c r="U37" s="3"/>
      <c r="V37" s="84"/>
      <c r="W37" s="3"/>
      <c r="X37" s="20">
        <f t="shared" si="10"/>
        <v>0</v>
      </c>
      <c r="Y37" s="85"/>
      <c r="Z37" s="84"/>
      <c r="AA37" s="3"/>
      <c r="AB37" s="20">
        <f t="shared" si="11"/>
        <v>0</v>
      </c>
      <c r="AC37" s="84"/>
      <c r="AD37" s="84"/>
      <c r="AE37" s="20">
        <f t="shared" si="12"/>
        <v>333.9</v>
      </c>
      <c r="AF37" s="84"/>
      <c r="AG37" s="3"/>
      <c r="AH37" s="55"/>
      <c r="AI37" s="55"/>
    </row>
    <row r="38" spans="1:35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21">
        <v>60</v>
      </c>
      <c r="F38" s="20">
        <f t="shared" si="14"/>
        <v>100622.42333333332</v>
      </c>
      <c r="G38" s="20">
        <f t="shared" si="15"/>
        <v>48851.040000000001</v>
      </c>
      <c r="H38" s="3">
        <v>37520</v>
      </c>
      <c r="I38" s="84"/>
      <c r="J38" s="3"/>
      <c r="K38" s="20">
        <f t="shared" si="9"/>
        <v>11331.04</v>
      </c>
      <c r="L38" s="3"/>
      <c r="M38" s="84">
        <v>5400</v>
      </c>
      <c r="N38" s="84">
        <v>3333.333333333333</v>
      </c>
      <c r="O38" s="84">
        <v>1250</v>
      </c>
      <c r="P38" s="84"/>
      <c r="Q38" s="84">
        <v>1233.3333333333333</v>
      </c>
      <c r="R38" s="3">
        <v>9902.85</v>
      </c>
      <c r="S38" s="84">
        <v>2950</v>
      </c>
      <c r="T38" s="3">
        <v>1700</v>
      </c>
      <c r="U38" s="3"/>
      <c r="V38" s="84">
        <v>3620</v>
      </c>
      <c r="W38" s="3">
        <v>0</v>
      </c>
      <c r="X38" s="20">
        <f t="shared" si="10"/>
        <v>22915.200000000001</v>
      </c>
      <c r="Y38" s="85">
        <v>17600</v>
      </c>
      <c r="Z38" s="84"/>
      <c r="AA38" s="3"/>
      <c r="AB38" s="20">
        <f t="shared" si="11"/>
        <v>5315.2</v>
      </c>
      <c r="AC38" s="84"/>
      <c r="AD38" s="84">
        <v>4049.9999999999995</v>
      </c>
      <c r="AE38" s="20">
        <f t="shared" si="12"/>
        <v>6037.3</v>
      </c>
      <c r="AF38" s="84">
        <v>164.4</v>
      </c>
      <c r="AG38" s="3"/>
      <c r="AH38" s="55"/>
      <c r="AI38" s="55"/>
    </row>
    <row r="39" spans="1:35" ht="63" x14ac:dyDescent="0.25">
      <c r="A39" s="123" t="s">
        <v>59</v>
      </c>
      <c r="B39" s="17" t="s">
        <v>39</v>
      </c>
      <c r="C39" s="17" t="s">
        <v>40</v>
      </c>
      <c r="D39" s="17" t="s">
        <v>45</v>
      </c>
      <c r="E39" s="121">
        <v>55</v>
      </c>
      <c r="F39" s="120">
        <v>111682</v>
      </c>
      <c r="G39" s="20"/>
      <c r="H39" s="3"/>
      <c r="I39" s="84"/>
      <c r="J39" s="3"/>
      <c r="K39" s="20">
        <f t="shared" si="9"/>
        <v>0</v>
      </c>
      <c r="L39" s="3"/>
      <c r="M39" s="84"/>
      <c r="N39" s="84"/>
      <c r="O39" s="84"/>
      <c r="P39" s="84"/>
      <c r="Q39" s="84"/>
      <c r="R39" s="3"/>
      <c r="S39" s="84"/>
      <c r="T39" s="3"/>
      <c r="U39" s="3"/>
      <c r="V39" s="84"/>
      <c r="W39" s="3"/>
      <c r="X39" s="20">
        <f t="shared" si="10"/>
        <v>0</v>
      </c>
      <c r="Y39" s="85"/>
      <c r="Z39" s="84"/>
      <c r="AA39" s="3"/>
      <c r="AB39" s="20">
        <f t="shared" si="11"/>
        <v>0</v>
      </c>
      <c r="AC39" s="84"/>
      <c r="AD39" s="84"/>
      <c r="AE39" s="20">
        <f t="shared" si="12"/>
        <v>6142.5</v>
      </c>
      <c r="AF39" s="84"/>
      <c r="AG39" s="3"/>
      <c r="AH39" s="55"/>
      <c r="AI39" s="55"/>
    </row>
    <row r="40" spans="1:35" ht="63" x14ac:dyDescent="0.25">
      <c r="A40" s="257" t="s">
        <v>60</v>
      </c>
      <c r="B40" s="116" t="s">
        <v>61</v>
      </c>
      <c r="C40" s="116" t="s">
        <v>62</v>
      </c>
      <c r="D40" s="116" t="s">
        <v>45</v>
      </c>
      <c r="E40" s="83"/>
      <c r="F40" s="20">
        <f t="shared" si="14"/>
        <v>0</v>
      </c>
      <c r="G40" s="20">
        <f t="shared" si="15"/>
        <v>0</v>
      </c>
      <c r="H40" s="3"/>
      <c r="I40" s="84"/>
      <c r="J40" s="3"/>
      <c r="K40" s="20">
        <f t="shared" si="9"/>
        <v>0</v>
      </c>
      <c r="L40" s="3"/>
      <c r="M40" s="84"/>
      <c r="N40" s="84"/>
      <c r="O40" s="84"/>
      <c r="P40" s="84"/>
      <c r="Q40" s="84"/>
      <c r="R40" s="3"/>
      <c r="S40" s="84"/>
      <c r="T40" s="3"/>
      <c r="U40" s="3"/>
      <c r="V40" s="84"/>
      <c r="W40" s="3"/>
      <c r="X40" s="20">
        <f t="shared" si="10"/>
        <v>0</v>
      </c>
      <c r="Y40" s="85"/>
      <c r="Z40" s="84"/>
      <c r="AA40" s="3"/>
      <c r="AB40" s="20">
        <f t="shared" si="11"/>
        <v>0</v>
      </c>
      <c r="AC40" s="84"/>
      <c r="AD40" s="84"/>
      <c r="AE40" s="20">
        <f t="shared" si="12"/>
        <v>0</v>
      </c>
      <c r="AF40" s="84"/>
      <c r="AG40" s="3"/>
      <c r="AH40" s="55"/>
      <c r="AI40" s="55"/>
    </row>
    <row r="41" spans="1:35" ht="120" x14ac:dyDescent="0.25">
      <c r="A41" s="258"/>
      <c r="B41" s="86" t="s">
        <v>82</v>
      </c>
      <c r="C41" s="39" t="s">
        <v>64</v>
      </c>
      <c r="D41" s="38" t="s">
        <v>65</v>
      </c>
      <c r="E41" s="83"/>
      <c r="F41" s="20">
        <f t="shared" si="14"/>
        <v>0</v>
      </c>
      <c r="G41" s="20">
        <f t="shared" si="15"/>
        <v>0</v>
      </c>
      <c r="H41" s="3"/>
      <c r="I41" s="84"/>
      <c r="J41" s="3"/>
      <c r="K41" s="20">
        <f t="shared" si="9"/>
        <v>0</v>
      </c>
      <c r="L41" s="3"/>
      <c r="M41" s="84"/>
      <c r="N41" s="84"/>
      <c r="O41" s="84"/>
      <c r="P41" s="84"/>
      <c r="Q41" s="84"/>
      <c r="R41" s="3"/>
      <c r="S41" s="84"/>
      <c r="T41" s="3"/>
      <c r="U41" s="3"/>
      <c r="V41" s="84"/>
      <c r="W41" s="3"/>
      <c r="X41" s="20">
        <f t="shared" si="10"/>
        <v>0</v>
      </c>
      <c r="Y41" s="85"/>
      <c r="Z41" s="84"/>
      <c r="AA41" s="3"/>
      <c r="AB41" s="20">
        <f t="shared" si="11"/>
        <v>0</v>
      </c>
      <c r="AC41" s="84"/>
      <c r="AD41" s="84"/>
      <c r="AE41" s="20">
        <f t="shared" si="12"/>
        <v>0</v>
      </c>
      <c r="AF41" s="84"/>
      <c r="AG41" s="3"/>
      <c r="AH41" s="55"/>
      <c r="AI41" s="55"/>
    </row>
    <row r="42" spans="1:35" ht="180" x14ac:dyDescent="0.25">
      <c r="A42" s="258"/>
      <c r="B42" s="88" t="s">
        <v>83</v>
      </c>
      <c r="C42" s="39" t="s">
        <v>64</v>
      </c>
      <c r="D42" s="38" t="s">
        <v>65</v>
      </c>
      <c r="E42" s="83"/>
      <c r="F42" s="20">
        <f t="shared" si="14"/>
        <v>0</v>
      </c>
      <c r="G42" s="20">
        <f t="shared" si="15"/>
        <v>0</v>
      </c>
      <c r="H42" s="3"/>
      <c r="I42" s="84"/>
      <c r="J42" s="3"/>
      <c r="K42" s="20">
        <f t="shared" si="9"/>
        <v>0</v>
      </c>
      <c r="L42" s="3"/>
      <c r="M42" s="84"/>
      <c r="N42" s="84"/>
      <c r="O42" s="84"/>
      <c r="P42" s="84"/>
      <c r="Q42" s="84"/>
      <c r="R42" s="3"/>
      <c r="S42" s="84"/>
      <c r="T42" s="3"/>
      <c r="U42" s="3"/>
      <c r="V42" s="84"/>
      <c r="W42" s="3"/>
      <c r="X42" s="20">
        <f t="shared" si="10"/>
        <v>0</v>
      </c>
      <c r="Y42" s="85"/>
      <c r="Z42" s="84"/>
      <c r="AA42" s="3"/>
      <c r="AB42" s="20">
        <f t="shared" si="11"/>
        <v>0</v>
      </c>
      <c r="AC42" s="84"/>
      <c r="AD42" s="84"/>
      <c r="AE42" s="20">
        <f t="shared" si="12"/>
        <v>0</v>
      </c>
      <c r="AF42" s="84"/>
      <c r="AG42" s="3"/>
      <c r="AH42" s="55"/>
      <c r="AI42" s="55"/>
    </row>
    <row r="43" spans="1:35" ht="90" x14ac:dyDescent="0.25">
      <c r="A43" s="258"/>
      <c r="B43" s="88" t="s">
        <v>84</v>
      </c>
      <c r="C43" s="39" t="s">
        <v>64</v>
      </c>
      <c r="D43" s="38" t="s">
        <v>65</v>
      </c>
      <c r="E43" s="83"/>
      <c r="F43" s="20">
        <f t="shared" si="14"/>
        <v>0</v>
      </c>
      <c r="G43" s="20">
        <f t="shared" si="15"/>
        <v>0</v>
      </c>
      <c r="H43" s="3"/>
      <c r="I43" s="84"/>
      <c r="J43" s="3"/>
      <c r="K43" s="20">
        <f t="shared" si="9"/>
        <v>0</v>
      </c>
      <c r="L43" s="3"/>
      <c r="M43" s="84"/>
      <c r="N43" s="84"/>
      <c r="O43" s="84"/>
      <c r="P43" s="84"/>
      <c r="Q43" s="84"/>
      <c r="R43" s="3"/>
      <c r="S43" s="84"/>
      <c r="T43" s="3"/>
      <c r="U43" s="3"/>
      <c r="V43" s="84"/>
      <c r="W43" s="3"/>
      <c r="X43" s="20">
        <f t="shared" si="10"/>
        <v>0</v>
      </c>
      <c r="Y43" s="85"/>
      <c r="Z43" s="84"/>
      <c r="AA43" s="3"/>
      <c r="AB43" s="20">
        <f t="shared" si="11"/>
        <v>0</v>
      </c>
      <c r="AC43" s="84"/>
      <c r="AD43" s="84"/>
      <c r="AE43" s="20">
        <f t="shared" si="12"/>
        <v>0</v>
      </c>
      <c r="AF43" s="84"/>
      <c r="AG43" s="3"/>
      <c r="AH43" s="55"/>
      <c r="AI43" s="55"/>
    </row>
    <row r="44" spans="1:35" ht="15.75" x14ac:dyDescent="0.25">
      <c r="A44" s="114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20"/>
      <c r="AF44" s="84"/>
      <c r="AG44" s="3">
        <f>SUM(AG11:AG43)</f>
        <v>1828154.7600000002</v>
      </c>
      <c r="AH44" s="55"/>
      <c r="AI44" s="55"/>
    </row>
    <row r="45" spans="1:35" ht="15.75" x14ac:dyDescent="0.25">
      <c r="A45" s="114"/>
      <c r="B45" s="9"/>
      <c r="C45" s="82"/>
      <c r="D45" s="9"/>
      <c r="E45" s="83"/>
      <c r="F45" s="3"/>
      <c r="G45" s="3"/>
      <c r="H45" s="3"/>
      <c r="I45" s="84"/>
      <c r="J45" s="3"/>
      <c r="K45" s="3"/>
      <c r="L45" s="3"/>
      <c r="M45" s="84"/>
      <c r="N45" s="84"/>
      <c r="O45" s="84"/>
      <c r="P45" s="84"/>
      <c r="Q45" s="84"/>
      <c r="R45" s="3"/>
      <c r="S45" s="84"/>
      <c r="T45" s="3"/>
      <c r="U45" s="3"/>
      <c r="V45" s="84"/>
      <c r="W45" s="3"/>
      <c r="X45" s="3"/>
      <c r="Y45" s="85"/>
      <c r="Z45" s="84"/>
      <c r="AA45" s="3"/>
      <c r="AB45" s="3"/>
      <c r="AC45" s="84"/>
      <c r="AD45" s="84"/>
      <c r="AE45" s="3"/>
      <c r="AF45" s="84"/>
      <c r="AG45" s="3"/>
      <c r="AH45" s="55"/>
      <c r="AI45" s="55"/>
    </row>
    <row r="46" spans="1:35" ht="15.75" x14ac:dyDescent="0.25">
      <c r="A46" s="114"/>
      <c r="B46" s="9"/>
      <c r="C46" s="82"/>
      <c r="D46" s="9"/>
      <c r="E46" s="83"/>
      <c r="F46" s="3"/>
      <c r="G46" s="3"/>
      <c r="H46" s="3"/>
      <c r="I46" s="84"/>
      <c r="J46" s="3"/>
      <c r="K46" s="3"/>
      <c r="L46" s="3"/>
      <c r="M46" s="84"/>
      <c r="N46" s="84"/>
      <c r="O46" s="84"/>
      <c r="P46" s="84"/>
      <c r="Q46" s="84"/>
      <c r="R46" s="3"/>
      <c r="S46" s="84"/>
      <c r="T46" s="3"/>
      <c r="U46" s="3"/>
      <c r="V46" s="84"/>
      <c r="W46" s="3"/>
      <c r="X46" s="3"/>
      <c r="Y46" s="85"/>
      <c r="Z46" s="84"/>
      <c r="AA46" s="3"/>
      <c r="AB46" s="3"/>
      <c r="AC46" s="84"/>
      <c r="AD46" s="84"/>
      <c r="AE46" s="3"/>
      <c r="AF46" s="84"/>
      <c r="AG46" s="3"/>
      <c r="AH46" s="55"/>
      <c r="AI46" s="55"/>
    </row>
    <row r="47" spans="1:35" ht="15.75" x14ac:dyDescent="0.25">
      <c r="A47" s="114"/>
      <c r="B47" s="9"/>
      <c r="C47" s="82"/>
      <c r="D47" s="9"/>
      <c r="E47" s="83"/>
      <c r="F47" s="3"/>
      <c r="G47" s="3"/>
      <c r="H47" s="3"/>
      <c r="I47" s="84"/>
      <c r="J47" s="3"/>
      <c r="K47" s="3"/>
      <c r="L47" s="3"/>
      <c r="M47" s="84"/>
      <c r="N47" s="84"/>
      <c r="O47" s="84"/>
      <c r="P47" s="84"/>
      <c r="Q47" s="84"/>
      <c r="R47" s="3"/>
      <c r="S47" s="84"/>
      <c r="T47" s="3"/>
      <c r="U47" s="3"/>
      <c r="V47" s="84"/>
      <c r="W47" s="3"/>
      <c r="X47" s="3"/>
      <c r="Y47" s="85"/>
      <c r="Z47" s="84"/>
      <c r="AA47" s="3"/>
      <c r="AB47" s="3"/>
      <c r="AC47" s="84"/>
      <c r="AD47" s="84"/>
      <c r="AE47" s="3"/>
      <c r="AF47" s="84"/>
      <c r="AG47" s="3"/>
      <c r="AH47" s="55"/>
      <c r="AI47" s="55"/>
    </row>
    <row r="48" spans="1:35" ht="15.75" x14ac:dyDescent="0.25">
      <c r="A48" s="114"/>
      <c r="B48" s="9"/>
      <c r="C48" s="82"/>
      <c r="D48" s="9"/>
      <c r="E48" s="83"/>
      <c r="F48" s="3"/>
      <c r="G48" s="3"/>
      <c r="H48" s="3"/>
      <c r="I48" s="84"/>
      <c r="J48" s="3"/>
      <c r="K48" s="3"/>
      <c r="L48" s="3"/>
      <c r="M48" s="84"/>
      <c r="N48" s="84"/>
      <c r="O48" s="84"/>
      <c r="P48" s="84"/>
      <c r="Q48" s="84"/>
      <c r="R48" s="3"/>
      <c r="S48" s="84"/>
      <c r="T48" s="3"/>
      <c r="U48" s="3"/>
      <c r="V48" s="84"/>
      <c r="W48" s="3"/>
      <c r="X48" s="3"/>
      <c r="Y48" s="85"/>
      <c r="Z48" s="84"/>
      <c r="AA48" s="3"/>
      <c r="AB48" s="3"/>
      <c r="AC48" s="84"/>
      <c r="AD48" s="84"/>
      <c r="AE48" s="3"/>
      <c r="AF48" s="84"/>
      <c r="AG48" s="3"/>
      <c r="AH48" s="55"/>
      <c r="AI48" s="55"/>
    </row>
    <row r="49" spans="1:35" ht="15.75" x14ac:dyDescent="0.25">
      <c r="A49" s="114"/>
      <c r="B49" s="9"/>
      <c r="C49" s="82"/>
      <c r="D49" s="9"/>
      <c r="E49" s="83"/>
      <c r="F49" s="3"/>
      <c r="G49" s="3"/>
      <c r="H49" s="3"/>
      <c r="I49" s="84"/>
      <c r="J49" s="3"/>
      <c r="K49" s="3"/>
      <c r="L49" s="3"/>
      <c r="M49" s="84"/>
      <c r="N49" s="84"/>
      <c r="O49" s="84"/>
      <c r="P49" s="84"/>
      <c r="Q49" s="84"/>
      <c r="R49" s="3"/>
      <c r="S49" s="84"/>
      <c r="T49" s="3"/>
      <c r="U49" s="3"/>
      <c r="V49" s="84"/>
      <c r="W49" s="3"/>
      <c r="X49" s="3"/>
      <c r="Y49" s="85"/>
      <c r="Z49" s="84"/>
      <c r="AA49" s="3"/>
      <c r="AB49" s="3"/>
      <c r="AC49" s="84"/>
      <c r="AD49" s="84"/>
      <c r="AE49" s="3"/>
      <c r="AF49" s="84"/>
      <c r="AG49" s="3"/>
      <c r="AH49" s="55"/>
      <c r="AI49" s="55"/>
    </row>
    <row r="50" spans="1:35" ht="15.75" x14ac:dyDescent="0.25">
      <c r="A50" s="114"/>
      <c r="B50" s="9"/>
      <c r="C50" s="82"/>
      <c r="D50" s="9"/>
      <c r="E50" s="83"/>
      <c r="F50" s="3"/>
      <c r="G50" s="3"/>
      <c r="H50" s="3"/>
      <c r="I50" s="84"/>
      <c r="J50" s="3"/>
      <c r="K50" s="3"/>
      <c r="L50" s="3"/>
      <c r="M50" s="84"/>
      <c r="N50" s="84"/>
      <c r="O50" s="84"/>
      <c r="P50" s="84"/>
      <c r="Q50" s="84"/>
      <c r="R50" s="3"/>
      <c r="S50" s="84"/>
      <c r="T50" s="3"/>
      <c r="U50" s="3"/>
      <c r="V50" s="84"/>
      <c r="W50" s="3"/>
      <c r="X50" s="3"/>
      <c r="Y50" s="85"/>
      <c r="Z50" s="84"/>
      <c r="AA50" s="3"/>
      <c r="AB50" s="3"/>
      <c r="AC50" s="84"/>
      <c r="AD50" s="84"/>
      <c r="AE50" s="3"/>
      <c r="AF50" s="84"/>
      <c r="AG50" s="3"/>
      <c r="AH50" s="55"/>
      <c r="AI50" s="55"/>
    </row>
    <row r="51" spans="1:35" ht="15.75" x14ac:dyDescent="0.25">
      <c r="A51" s="114"/>
      <c r="B51" s="9"/>
      <c r="C51" s="82"/>
      <c r="D51" s="9"/>
      <c r="E51" s="83"/>
      <c r="F51" s="3"/>
      <c r="G51" s="3"/>
      <c r="H51" s="3"/>
      <c r="I51" s="84"/>
      <c r="J51" s="3"/>
      <c r="K51" s="3"/>
      <c r="L51" s="3"/>
      <c r="M51" s="84"/>
      <c r="N51" s="84"/>
      <c r="O51" s="84"/>
      <c r="P51" s="84"/>
      <c r="Q51" s="84"/>
      <c r="R51" s="3"/>
      <c r="S51" s="84"/>
      <c r="T51" s="3"/>
      <c r="U51" s="3"/>
      <c r="V51" s="84"/>
      <c r="W51" s="3"/>
      <c r="X51" s="3"/>
      <c r="Y51" s="85"/>
      <c r="Z51" s="84"/>
      <c r="AA51" s="3"/>
      <c r="AB51" s="3"/>
      <c r="AC51" s="84"/>
      <c r="AD51" s="84"/>
      <c r="AE51" s="3"/>
      <c r="AF51" s="84"/>
      <c r="AG51" s="3"/>
      <c r="AH51" s="55"/>
      <c r="AI51" s="55"/>
    </row>
    <row r="52" spans="1:35" ht="15.75" x14ac:dyDescent="0.25">
      <c r="A52" s="114"/>
      <c r="B52" s="9"/>
      <c r="C52" s="82"/>
      <c r="D52" s="9"/>
      <c r="E52" s="83"/>
      <c r="F52" s="3"/>
      <c r="G52" s="3"/>
      <c r="H52" s="3"/>
      <c r="I52" s="84"/>
      <c r="J52" s="3"/>
      <c r="K52" s="3"/>
      <c r="L52" s="3"/>
      <c r="M52" s="84"/>
      <c r="N52" s="84"/>
      <c r="O52" s="84"/>
      <c r="P52" s="84"/>
      <c r="Q52" s="84"/>
      <c r="R52" s="3"/>
      <c r="S52" s="84"/>
      <c r="T52" s="3"/>
      <c r="U52" s="3"/>
      <c r="V52" s="84"/>
      <c r="W52" s="3"/>
      <c r="X52" s="3"/>
      <c r="Y52" s="85"/>
      <c r="Z52" s="84"/>
      <c r="AA52" s="3"/>
      <c r="AB52" s="3"/>
      <c r="AC52" s="84"/>
      <c r="AD52" s="84"/>
      <c r="AE52" s="3"/>
      <c r="AF52" s="84"/>
      <c r="AG52" s="3"/>
      <c r="AH52" s="55"/>
      <c r="AI52" s="55"/>
    </row>
    <row r="53" spans="1:35" ht="15.75" x14ac:dyDescent="0.25">
      <c r="A53" s="114"/>
      <c r="B53" s="9"/>
      <c r="C53" s="82"/>
      <c r="D53" s="9"/>
      <c r="E53" s="83"/>
      <c r="F53" s="3"/>
      <c r="G53" s="3"/>
      <c r="H53" s="3"/>
      <c r="I53" s="84"/>
      <c r="J53" s="3"/>
      <c r="K53" s="3"/>
      <c r="L53" s="3"/>
      <c r="M53" s="84"/>
      <c r="N53" s="84"/>
      <c r="O53" s="84"/>
      <c r="P53" s="84"/>
      <c r="Q53" s="84"/>
      <c r="R53" s="3"/>
      <c r="S53" s="84"/>
      <c r="T53" s="3"/>
      <c r="U53" s="3"/>
      <c r="V53" s="84"/>
      <c r="W53" s="3"/>
      <c r="X53" s="3"/>
      <c r="Y53" s="85"/>
      <c r="Z53" s="84"/>
      <c r="AA53" s="3"/>
      <c r="AB53" s="3"/>
      <c r="AC53" s="84"/>
      <c r="AD53" s="84"/>
      <c r="AE53" s="3"/>
      <c r="AF53" s="84"/>
      <c r="AG53" s="3"/>
      <c r="AH53" s="55"/>
      <c r="AI53" s="55"/>
    </row>
    <row r="54" spans="1:35" ht="15.75" x14ac:dyDescent="0.25">
      <c r="A54" s="114"/>
      <c r="B54" s="9"/>
      <c r="C54" s="82"/>
      <c r="D54" s="9"/>
      <c r="E54" s="83"/>
      <c r="F54" s="3"/>
      <c r="G54" s="3"/>
      <c r="H54" s="3"/>
      <c r="I54" s="84"/>
      <c r="J54" s="3"/>
      <c r="K54" s="3"/>
      <c r="L54" s="3"/>
      <c r="M54" s="84"/>
      <c r="N54" s="84"/>
      <c r="O54" s="84"/>
      <c r="P54" s="84"/>
      <c r="Q54" s="84"/>
      <c r="R54" s="3"/>
      <c r="S54" s="84"/>
      <c r="T54" s="3"/>
      <c r="U54" s="3"/>
      <c r="V54" s="84"/>
      <c r="W54" s="3"/>
      <c r="X54" s="3"/>
      <c r="Y54" s="85"/>
      <c r="Z54" s="84"/>
      <c r="AA54" s="3"/>
      <c r="AB54" s="3"/>
      <c r="AC54" s="84"/>
      <c r="AD54" s="84"/>
      <c r="AE54" s="3"/>
      <c r="AF54" s="84"/>
      <c r="AG54" s="3"/>
      <c r="AH54" s="55"/>
      <c r="AI54" s="55"/>
    </row>
    <row r="55" spans="1:35" ht="15.75" x14ac:dyDescent="0.25">
      <c r="A55" s="114"/>
      <c r="B55" s="9"/>
      <c r="C55" s="82"/>
      <c r="D55" s="9"/>
      <c r="E55" s="83"/>
      <c r="F55" s="3"/>
      <c r="G55" s="3"/>
      <c r="H55" s="3"/>
      <c r="I55" s="84"/>
      <c r="J55" s="3"/>
      <c r="K55" s="3"/>
      <c r="L55" s="3"/>
      <c r="M55" s="84"/>
      <c r="N55" s="84"/>
      <c r="O55" s="84"/>
      <c r="P55" s="84"/>
      <c r="Q55" s="84"/>
      <c r="R55" s="3"/>
      <c r="S55" s="84"/>
      <c r="T55" s="3"/>
      <c r="U55" s="3"/>
      <c r="V55" s="84"/>
      <c r="W55" s="3"/>
      <c r="X55" s="3"/>
      <c r="Y55" s="85"/>
      <c r="Z55" s="84"/>
      <c r="AA55" s="3"/>
      <c r="AB55" s="3"/>
      <c r="AC55" s="84"/>
      <c r="AD55" s="84"/>
      <c r="AE55" s="3"/>
      <c r="AF55" s="84"/>
      <c r="AG55" s="3"/>
      <c r="AH55" s="55"/>
      <c r="AI55" s="55"/>
    </row>
    <row r="56" spans="1:35" ht="15.75" x14ac:dyDescent="0.25">
      <c r="A56" s="114"/>
      <c r="B56" s="9"/>
      <c r="C56" s="82"/>
      <c r="D56" s="9"/>
      <c r="E56" s="83"/>
      <c r="F56" s="3"/>
      <c r="G56" s="3"/>
      <c r="H56" s="3"/>
      <c r="I56" s="84"/>
      <c r="J56" s="3"/>
      <c r="K56" s="3"/>
      <c r="L56" s="3"/>
      <c r="M56" s="84"/>
      <c r="N56" s="84"/>
      <c r="O56" s="84"/>
      <c r="P56" s="84"/>
      <c r="Q56" s="84"/>
      <c r="R56" s="3"/>
      <c r="S56" s="84"/>
      <c r="T56" s="3"/>
      <c r="U56" s="3"/>
      <c r="V56" s="84"/>
      <c r="W56" s="3"/>
      <c r="X56" s="3"/>
      <c r="Y56" s="85"/>
      <c r="Z56" s="84"/>
      <c r="AA56" s="3"/>
      <c r="AB56" s="3"/>
      <c r="AC56" s="84"/>
      <c r="AD56" s="84"/>
      <c r="AE56" s="3"/>
      <c r="AF56" s="84"/>
      <c r="AG56" s="3"/>
      <c r="AH56" s="55"/>
      <c r="AI56" s="55"/>
    </row>
    <row r="57" spans="1:35" ht="15.75" x14ac:dyDescent="0.25">
      <c r="A57" s="114"/>
      <c r="B57" s="9"/>
      <c r="C57" s="82"/>
      <c r="D57" s="9"/>
      <c r="E57" s="83"/>
      <c r="F57" s="3"/>
      <c r="G57" s="3"/>
      <c r="H57" s="3"/>
      <c r="I57" s="84"/>
      <c r="J57" s="3"/>
      <c r="K57" s="3"/>
      <c r="L57" s="3"/>
      <c r="M57" s="84"/>
      <c r="N57" s="84"/>
      <c r="O57" s="84"/>
      <c r="P57" s="84"/>
      <c r="Q57" s="84"/>
      <c r="R57" s="3"/>
      <c r="S57" s="84"/>
      <c r="T57" s="3"/>
      <c r="U57" s="3"/>
      <c r="V57" s="84"/>
      <c r="W57" s="3"/>
      <c r="X57" s="3"/>
      <c r="Y57" s="85"/>
      <c r="Z57" s="84"/>
      <c r="AA57" s="3"/>
      <c r="AB57" s="3"/>
      <c r="AC57" s="84"/>
      <c r="AD57" s="84"/>
      <c r="AE57" s="3"/>
      <c r="AF57" s="84"/>
      <c r="AG57" s="3"/>
      <c r="AH57" s="55"/>
      <c r="AI57" s="55"/>
    </row>
    <row r="58" spans="1:35" ht="22.5" x14ac:dyDescent="0.25">
      <c r="A58" s="9" t="s">
        <v>70</v>
      </c>
      <c r="AE58" s="54">
        <f>SUM(AE23:AE25)</f>
        <v>263755.19999999995</v>
      </c>
      <c r="AF58" s="54">
        <f>SUM(AF23:AF25)</f>
        <v>247.7</v>
      </c>
      <c r="AG58" s="53">
        <f>SUM(AG23:AG25)</f>
        <v>264002.90000000002</v>
      </c>
      <c r="AH58" s="53">
        <f>SUM(AH11:AH13)</f>
        <v>0</v>
      </c>
      <c r="AI58" s="56">
        <v>557329100.26582909</v>
      </c>
    </row>
    <row r="59" spans="1:35" ht="20.25" x14ac:dyDescent="0.25">
      <c r="A59" s="9" t="s">
        <v>71</v>
      </c>
      <c r="AE59" s="4"/>
      <c r="AF59" s="4"/>
      <c r="AG59" s="49">
        <v>742534.50000000012</v>
      </c>
      <c r="AH59" s="49">
        <v>557329.10026582901</v>
      </c>
      <c r="AI59" s="50">
        <v>557329.1</v>
      </c>
    </row>
    <row r="60" spans="1:35" x14ac:dyDescent="0.25">
      <c r="AE60" s="4"/>
      <c r="AF60" s="4"/>
      <c r="AG60" s="50">
        <f>AG58-AG59</f>
        <v>-478531.60000000009</v>
      </c>
      <c r="AH60" s="57">
        <f>AH58-AH59</f>
        <v>-557329.10026582901</v>
      </c>
      <c r="AI60" s="4"/>
    </row>
    <row r="61" spans="1:35" x14ac:dyDescent="0.25">
      <c r="AG61" s="2"/>
      <c r="AH61" s="50"/>
      <c r="AI61" s="50"/>
    </row>
  </sheetData>
  <mergeCells count="43">
    <mergeCell ref="A40:A43"/>
    <mergeCell ref="AG23:AG25"/>
    <mergeCell ref="AB7:AB9"/>
    <mergeCell ref="AC7:AC9"/>
    <mergeCell ref="M8:M9"/>
    <mergeCell ref="N8:O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AF3:AF9"/>
    <mergeCell ref="G6:G9"/>
    <mergeCell ref="H6:L6"/>
    <mergeCell ref="X6:X9"/>
    <mergeCell ref="Y6:AC6"/>
    <mergeCell ref="H7:H9"/>
    <mergeCell ref="G4:AD4"/>
    <mergeCell ref="G5:L5"/>
    <mergeCell ref="M5:O7"/>
    <mergeCell ref="P5:P9"/>
    <mergeCell ref="Q5:Q9"/>
    <mergeCell ref="AG26:AG28"/>
    <mergeCell ref="A3:A9"/>
    <mergeCell ref="B3:B9"/>
    <mergeCell ref="C3:D3"/>
    <mergeCell ref="F3:AD3"/>
    <mergeCell ref="AE3:AE9"/>
    <mergeCell ref="R5:R9"/>
    <mergeCell ref="S5:S9"/>
    <mergeCell ref="T5:T9"/>
    <mergeCell ref="U5:U9"/>
    <mergeCell ref="I7:I9"/>
    <mergeCell ref="AG3:AG9"/>
    <mergeCell ref="C4:C9"/>
    <mergeCell ref="D4:D9"/>
    <mergeCell ref="E4:E9"/>
    <mergeCell ref="F4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11</vt:i4>
      </vt:variant>
    </vt:vector>
  </HeadingPairs>
  <TitlesOfParts>
    <vt:vector size="38" baseType="lpstr">
      <vt:lpstr>2023 НЗ ФГБУ пер и ЗП 30.09 22</vt:lpstr>
      <vt:lpstr>2023 НЗ пер ФЦАО 3 раб 28.11.12</vt:lpstr>
      <vt:lpstr>2024 НЗ ФГБУ пер и ЗП 30.09 22</vt:lpstr>
      <vt:lpstr>2024 НЗ пер 3 раб 28.11.12</vt:lpstr>
      <vt:lpstr>2025 НЗ баз пер и ЗП 30.09.22</vt:lpstr>
      <vt:lpstr>2025 НЗ пер 3 раб 28.11.12</vt:lpstr>
      <vt:lpstr>2026</vt:lpstr>
      <vt:lpstr>2025 НЗ предв 04.05.2023 (ДБА)</vt:lpstr>
      <vt:lpstr>2026 НЗ предв 04.05.2023 (ДБА)</vt:lpstr>
      <vt:lpstr>2025 НЗ ББА 22.05.2023</vt:lpstr>
      <vt:lpstr>2026 НЗ ББА 22.05.2023</vt:lpstr>
      <vt:lpstr>2025 НЗ ДБА 22.05.2023</vt:lpstr>
      <vt:lpstr>2026 НЗ ДБА 22.05.2023</vt:lpstr>
      <vt:lpstr>СВОД НЗ 2025 22.05.2023</vt:lpstr>
      <vt:lpstr>СВОД НЗ 2026 22.05.2023</vt:lpstr>
      <vt:lpstr>СФО</vt:lpstr>
      <vt:lpstr>УФО</vt:lpstr>
      <vt:lpstr>ПФО</vt:lpstr>
      <vt:lpstr>СЗФО</vt:lpstr>
      <vt:lpstr>ДФО</vt:lpstr>
      <vt:lpstr>ЮФО</vt:lpstr>
      <vt:lpstr>ЦФО</vt:lpstr>
      <vt:lpstr>БА ТМД</vt:lpstr>
      <vt:lpstr>СевКасп ТМД</vt:lpstr>
      <vt:lpstr>ЧерАз ТМД</vt:lpstr>
      <vt:lpstr>Камчат ТМД</vt:lpstr>
      <vt:lpstr>ФЦАО</vt:lpstr>
      <vt:lpstr>'2023 НЗ пер ФЦАО 3 раб 28.11.12'!Область_печати</vt:lpstr>
      <vt:lpstr>'2023 НЗ ФГБУ пер и ЗП 30.09 22'!Область_печати</vt:lpstr>
      <vt:lpstr>'2024 НЗ пер 3 раб 28.11.12'!Область_печати</vt:lpstr>
      <vt:lpstr>'2024 НЗ ФГБУ пер и ЗП 30.09 22'!Область_печати</vt:lpstr>
      <vt:lpstr>'2025 НЗ баз пер и ЗП 30.09.22'!Область_печати</vt:lpstr>
      <vt:lpstr>'2025 НЗ пер 3 раб 28.11.12'!Область_печати</vt:lpstr>
      <vt:lpstr>'Камчат ТМД'!Область_печати</vt:lpstr>
      <vt:lpstr>'СевКасп ТМД'!Область_печати</vt:lpstr>
      <vt:lpstr>СФО!Область_печати</vt:lpstr>
      <vt:lpstr>ФЦАО!Область_печати</vt:lpstr>
      <vt:lpstr>'ЧерАз ТМД'!Область_печати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Кульгускин Владимир Анатольевич</dc:creator>
  <cp:lastModifiedBy>Кульгускин Владимир Анатольевич</cp:lastModifiedBy>
  <cp:lastPrinted>2024-03-20T07:04:25Z</cp:lastPrinted>
  <dcterms:created xsi:type="dcterms:W3CDTF">2022-08-03T08:22:49Z</dcterms:created>
  <dcterms:modified xsi:type="dcterms:W3CDTF">2025-07-24T08:35:22Z</dcterms:modified>
</cp:coreProperties>
</file>